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zpot43\Dropbox\1. งานประจำทุกเดือน\open data\1ข้อมูลสถิติผู้เข้าชมสวนสัตว์\2.ข้อมูลนำขึ้น\งบประมาณ2569\เดือน5-2569\"/>
    </mc:Choice>
  </mc:AlternateContent>
  <xr:revisionPtr revIDLastSave="0" documentId="13_ncr:1_{E26B5CF7-AFA3-4BCE-A803-A458399A43A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" l="1"/>
  <c r="K34" i="1"/>
  <c r="K33" i="1"/>
  <c r="K30" i="1"/>
  <c r="K29" i="1"/>
  <c r="K64" i="1"/>
  <c r="K55" i="1"/>
  <c r="K51" i="1"/>
  <c r="K48" i="1"/>
  <c r="K47" i="1"/>
  <c r="K39" i="1"/>
  <c r="K46" i="1"/>
  <c r="K42" i="1"/>
  <c r="K38" i="1"/>
  <c r="K28" i="1"/>
  <c r="K21" i="1"/>
  <c r="K20" i="1"/>
  <c r="K19" i="1"/>
  <c r="K15" i="1"/>
  <c r="K12" i="1"/>
  <c r="K11" i="1"/>
  <c r="K10" i="1"/>
  <c r="K2" i="1"/>
  <c r="J64" i="1"/>
  <c r="J56" i="1"/>
  <c r="J55" i="1"/>
  <c r="J52" i="1"/>
  <c r="J51" i="1"/>
  <c r="J48" i="1"/>
  <c r="J47" i="1"/>
  <c r="J46" i="1"/>
  <c r="J42" i="1"/>
  <c r="J38" i="1"/>
  <c r="J37" i="1"/>
  <c r="J34" i="1"/>
  <c r="J33" i="1"/>
  <c r="J30" i="1"/>
  <c r="J29" i="1"/>
  <c r="J28" i="1"/>
  <c r="J24" i="1"/>
  <c r="J21" i="1"/>
  <c r="J20" i="1"/>
  <c r="J19" i="1"/>
  <c r="J15" i="1"/>
  <c r="J12" i="1"/>
  <c r="J11" i="1"/>
  <c r="J10" i="1"/>
  <c r="J2" i="1"/>
  <c r="I46" i="1" l="1"/>
  <c r="I42" i="1"/>
  <c r="I39" i="1"/>
  <c r="I38" i="1"/>
  <c r="I19" i="1"/>
  <c r="I16" i="1"/>
  <c r="I15" i="1"/>
  <c r="I12" i="1"/>
  <c r="I11" i="1"/>
  <c r="I64" i="1"/>
  <c r="I28" i="1"/>
  <c r="I21" i="1"/>
  <c r="I20" i="1"/>
  <c r="I10" i="1"/>
  <c r="I3" i="1"/>
  <c r="I2" i="1"/>
  <c r="I37" i="1"/>
  <c r="I34" i="1"/>
  <c r="I33" i="1"/>
  <c r="I30" i="1"/>
  <c r="I29" i="1"/>
  <c r="I55" i="1"/>
  <c r="I52" i="1"/>
  <c r="I51" i="1"/>
  <c r="I48" i="1"/>
  <c r="I47" i="1"/>
  <c r="G46" i="1"/>
  <c r="H46" i="1" l="1"/>
  <c r="H42" i="1"/>
  <c r="H39" i="1"/>
  <c r="H38" i="1"/>
  <c r="H64" i="1"/>
  <c r="H19" i="1"/>
  <c r="H15" i="1"/>
  <c r="H12" i="1"/>
  <c r="H11" i="1"/>
  <c r="H55" i="1"/>
  <c r="H51" i="1"/>
  <c r="H48" i="1"/>
  <c r="H47" i="1"/>
  <c r="H37" i="1"/>
  <c r="H34" i="1"/>
  <c r="H33" i="1"/>
  <c r="H30" i="1"/>
  <c r="H29" i="1"/>
  <c r="H28" i="1"/>
  <c r="H21" i="1"/>
  <c r="H20" i="1"/>
  <c r="H10" i="1"/>
  <c r="H3" i="1"/>
  <c r="H2" i="1"/>
  <c r="G37" i="1"/>
  <c r="G34" i="1"/>
  <c r="G33" i="1"/>
  <c r="G30" i="1"/>
  <c r="G29" i="1"/>
  <c r="G42" i="1"/>
  <c r="G39" i="1"/>
  <c r="G38" i="1"/>
  <c r="G19" i="1"/>
  <c r="G15" i="1"/>
  <c r="G12" i="1"/>
  <c r="G11" i="1"/>
  <c r="G55" i="1"/>
  <c r="G51" i="1"/>
  <c r="G47" i="1"/>
  <c r="G64" i="1"/>
  <c r="G28" i="1"/>
  <c r="G21" i="1"/>
  <c r="G20" i="1"/>
  <c r="G10" i="1"/>
  <c r="G3" i="1"/>
  <c r="G2" i="1"/>
  <c r="F37" i="1"/>
  <c r="F34" i="1"/>
  <c r="F33" i="1"/>
  <c r="F30" i="1"/>
  <c r="F29" i="1"/>
  <c r="F64" i="1"/>
  <c r="F55" i="1"/>
  <c r="F51" i="1"/>
  <c r="F48" i="1"/>
  <c r="F47" i="1"/>
  <c r="F42" i="1"/>
  <c r="F46" i="1"/>
  <c r="F39" i="1"/>
  <c r="F38" i="1"/>
  <c r="F28" i="1"/>
  <c r="F21" i="1"/>
  <c r="F20" i="1"/>
  <c r="F19" i="1"/>
  <c r="F16" i="1"/>
  <c r="F15" i="1"/>
  <c r="F12" i="1"/>
  <c r="F11" i="1"/>
  <c r="F10" i="1"/>
  <c r="F2" i="1"/>
  <c r="E46" i="1"/>
  <c r="E42" i="1"/>
  <c r="E39" i="1"/>
  <c r="E38" i="1"/>
  <c r="E64" i="1"/>
  <c r="E10" i="1"/>
  <c r="E3" i="1"/>
  <c r="E2" i="1"/>
  <c r="E37" i="1"/>
  <c r="E34" i="1"/>
  <c r="E33" i="1"/>
  <c r="E30" i="1"/>
  <c r="E29" i="1"/>
  <c r="E19" i="1"/>
  <c r="E16" i="1"/>
  <c r="E15" i="1"/>
  <c r="E12" i="1"/>
  <c r="E11" i="1"/>
  <c r="E28" i="1"/>
  <c r="E21" i="1"/>
  <c r="E20" i="1"/>
  <c r="E55" i="1"/>
  <c r="E51" i="1"/>
  <c r="E48" i="1"/>
  <c r="E47" i="1"/>
  <c r="D55" i="1"/>
  <c r="D51" i="1"/>
  <c r="D47" i="1"/>
  <c r="D28" i="1"/>
  <c r="D23" i="1"/>
  <c r="D21" i="1"/>
  <c r="D20" i="1"/>
  <c r="D46" i="1"/>
  <c r="D42" i="1"/>
  <c r="D39" i="1"/>
  <c r="D38" i="1"/>
  <c r="D19" i="1"/>
  <c r="D16" i="1"/>
  <c r="D15" i="1"/>
  <c r="D12" i="1"/>
  <c r="D11" i="1"/>
  <c r="D37" i="1"/>
  <c r="D34" i="1"/>
  <c r="D33" i="1"/>
  <c r="D30" i="1"/>
  <c r="D29" i="1"/>
  <c r="D10" i="1"/>
  <c r="D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<sst xmlns="http://schemas.openxmlformats.org/spreadsheetml/2006/main" count="163" uniqueCount="43">
  <si>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</si>
  <si>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</si>
  <si>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</si>
  <si>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</si>
  <si>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</si>
  <si>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</si>
  <si>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</si>
  <si>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</si>
  <si>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</si>
  <si>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</si>
  <si>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</si>
  <si>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</si>
  <si>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</si>
  <si>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</si>
  <si>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</si>
  <si>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</si>
  <si>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</si>
  <si>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</si>
  <si>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</si>
  <si>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</si>
  <si>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</si>
  <si>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</si>
  <si>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</si>
  <si>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</si>
  <si>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</si>
  <si>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</si>
  <si>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</si>
  <si>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</si>
  <si>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</si>
  <si>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68</t>
  </si>
  <si>
    <t>พ.ย. 68</t>
  </si>
  <si>
    <t>ธ.ค. 68</t>
  </si>
  <si>
    <t>ม.ค.69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</si>
  <si>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</si>
  <si>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</si>
  <si>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</si>
  <si>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</si>
  <si>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</si>
  <si>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</si>
  <si>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</si>
  <si>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</si>
  <si>
    <r>
      <rPr>
        <sz val="16"/>
        <rFont val="TH SarabunPSK"/>
        <family val="2"/>
      </rPr>
      <t>ผู้ใหญ่ (ชาวต่างชาติ)</t>
    </r>
  </si>
  <si>
    <r>
      <rPr>
        <sz val="16"/>
        <rFont val="TH SarabunPSK"/>
        <family val="2"/>
      </rPr>
      <t>เด็ก (ชาวต่างชาติ)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</si>
</sst>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  <font>
      <sz val="14"/>
      <color rgb="FF000000"/>
      <name val="TH SarabunPSK"/>
      <family val="2"/>
    </font>
    <font>
      <b/>
      <sz val="18"/>
      <name val="TH SarabunPSK"/>
      <family val="2"/>
    </font>
    <font>
      <sz val="18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8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164" fontId="9" fillId="4" borderId="2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0" fontId="10" fillId="4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vertical="center" wrapText="1"/>
    </xf>
    <xf numFmtId="164" fontId="9" fillId="5" borderId="2" xfId="1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center" vertical="center" wrapText="1"/>
    </xf>
    <xf numFmtId="164" fontId="9" fillId="9" borderId="2" xfId="1" applyNumberFormat="1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center" wrapText="1"/>
    </xf>
    <xf numFmtId="164" fontId="9" fillId="6" borderId="2" xfId="1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center" vertical="center" wrapText="1"/>
    </xf>
    <xf numFmtId="164" fontId="9" fillId="7" borderId="2" xfId="1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top" wrapText="1"/>
    </xf>
    <xf numFmtId="0" fontId="8" fillId="10" borderId="1" xfId="0" applyFont="1" applyFill="1" applyBorder="1" applyAlignment="1">
      <alignment horizontal="left" vertical="top" wrapText="1"/>
    </xf>
    <xf numFmtId="0" fontId="8" fillId="10" borderId="1" xfId="0" applyFont="1" applyFill="1" applyBorder="1" applyAlignment="1">
      <alignment horizontal="center" vertical="center" wrapText="1"/>
    </xf>
    <xf numFmtId="164" fontId="9" fillId="10" borderId="2" xfId="1" applyNumberFormat="1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left" vertical="top" wrapText="1"/>
    </xf>
    <xf numFmtId="0" fontId="8" fillId="10" borderId="3" xfId="0" applyFont="1" applyFill="1" applyBorder="1" applyAlignment="1">
      <alignment horizontal="left" vertical="top" wrapText="1"/>
    </xf>
    <xf numFmtId="0" fontId="8" fillId="8" borderId="3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center" vertical="center" wrapText="1"/>
    </xf>
    <xf numFmtId="164" fontId="9" fillId="8" borderId="2" xfId="1" applyNumberFormat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left" vertical="top" wrapText="1"/>
    </xf>
    <xf numFmtId="0" fontId="8" fillId="8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80" zoomScaleNormal="80" workbookViewId="0">
      <selection activeCell="A65" sqref="A65:XFD66"/>
    </sheetView>
  </sheetViews>
  <sheetFormatPr defaultColWidth="9.33203125" defaultRowHeight="21.75" x14ac:dyDescent="0.2"/>
  <cols>
    <col min="1" max="1" width="30.6640625" style="5" customWidth="1"/>
    <col min="2" max="2" width="35.83203125" style="5" customWidth="1"/>
    <col min="3" max="3" width="18.83203125" style="41" customWidth="1"/>
    <col min="4" max="8" width="10.83203125" style="5" customWidth="1"/>
    <col min="9" max="9" width="10.6640625" style="5" customWidth="1"/>
    <col min="10" max="10" width="12.33203125" style="5" customWidth="1"/>
    <col min="11" max="15" width="10.83203125" style="5" customWidth="1"/>
    <col min="16" max="16" width="9.33203125" style="5"/>
    <col min="17" max="17" width="9.33203125" style="5" customWidth="1"/>
    <col min="18" max="16384" width="9.33203125" style="5"/>
  </cols>
  <sheetData>
    <row r="1" spans="1:15" s="8" customFormat="1" ht="32.25" customHeight="1" x14ac:dyDescent="0.2">
      <c r="A1" s="6" t="s">
        <v>3</v>
      </c>
      <c r="B1" s="6" t="s">
        <v>0</v>
      </c>
      <c r="C1" s="6" t="s">
        <v>23</v>
      </c>
      <c r="D1" s="7" t="s">
        <v>29</v>
      </c>
      <c r="E1" s="7" t="s">
        <v>30</v>
      </c>
      <c r="F1" s="7" t="s">
        <v>31</v>
      </c>
      <c r="G1" s="7" t="s">
        <v>32</v>
      </c>
      <c r="H1" s="7" t="s">
        <v>33</v>
      </c>
      <c r="I1" s="7" t="s">
        <v>34</v>
      </c>
      <c r="J1" s="7" t="s">
        <v>35</v>
      </c>
      <c r="K1" s="7" t="s">
        <v>36</v>
      </c>
      <c r="L1" s="7" t="s">
        <v>37</v>
      </c>
      <c r="M1" s="7" t="s">
        <v>38</v>
      </c>
      <c r="N1" s="7" t="s">
        <v>39</v>
      </c>
      <c r="O1" s="7" t="s">
        <v>40</v>
      </c>
    </row>
    <row r="2" spans="1:15" s="12" customFormat="1" ht="24.2" customHeight="1" x14ac:dyDescent="0.2">
      <c r="A2" s="9" t="s">
        <v>4</v>
      </c>
      <c r="B2" s="9" t="s">
        <v>25</v>
      </c>
      <c r="C2" s="10">
        <v>2569</v>
      </c>
      <c r="D2" s="11">
        <f>55283+4610</f>
        <v>59893</v>
      </c>
      <c r="E2" s="11">
        <f>27858+3894</f>
        <v>31752</v>
      </c>
      <c r="F2" s="11">
        <f>37612+4685</f>
        <v>42297</v>
      </c>
      <c r="G2" s="11">
        <f>25310+2608</f>
        <v>27918</v>
      </c>
      <c r="H2" s="11">
        <f>16321+8707</f>
        <v>25028</v>
      </c>
      <c r="I2" s="11">
        <f>33309+3831</f>
        <v>37140</v>
      </c>
      <c r="J2" s="11">
        <f>43590+3785</f>
        <v>47375</v>
      </c>
      <c r="K2" s="11">
        <f>39197+4174</f>
        <v>43371</v>
      </c>
      <c r="L2" s="11"/>
      <c r="M2" s="11"/>
      <c r="N2" s="11"/>
      <c r="O2" s="11"/>
    </row>
    <row r="3" spans="1:15" s="12" customFormat="1" ht="24.2" customHeight="1" x14ac:dyDescent="0.2">
      <c r="A3" s="9" t="s">
        <v>5</v>
      </c>
      <c r="B3" s="9" t="s">
        <v>25</v>
      </c>
      <c r="C3" s="10">
        <v>2569</v>
      </c>
      <c r="D3" s="11">
        <v>16585</v>
      </c>
      <c r="E3" s="11">
        <f>5916</f>
        <v>5916</v>
      </c>
      <c r="F3" s="11">
        <v>8025</v>
      </c>
      <c r="G3" s="11">
        <f>3773+4</f>
        <v>3777</v>
      </c>
      <c r="H3" s="11">
        <f>4738</f>
        <v>4738</v>
      </c>
      <c r="I3" s="11">
        <f>9562</f>
        <v>9562</v>
      </c>
      <c r="J3" s="11">
        <v>14528</v>
      </c>
      <c r="K3" s="11">
        <v>10849</v>
      </c>
      <c r="L3" s="11"/>
      <c r="M3" s="11"/>
      <c r="N3" s="11"/>
      <c r="O3" s="11"/>
    </row>
    <row r="4" spans="1:15" s="12" customFormat="1" ht="24.6" customHeight="1" x14ac:dyDescent="0.2">
      <c r="A4" s="9" t="s">
        <v>11</v>
      </c>
      <c r="B4" s="9" t="s">
        <v>25</v>
      </c>
      <c r="C4" s="10">
        <v>2569</v>
      </c>
      <c r="D4" s="11">
        <v>8024</v>
      </c>
      <c r="E4" s="11">
        <v>13656</v>
      </c>
      <c r="F4" s="11">
        <v>13806</v>
      </c>
      <c r="G4" s="11">
        <v>14555</v>
      </c>
      <c r="H4" s="11">
        <v>8234</v>
      </c>
      <c r="I4" s="11">
        <v>11316</v>
      </c>
      <c r="J4" s="11">
        <v>293</v>
      </c>
      <c r="K4" s="11">
        <v>466</v>
      </c>
      <c r="L4" s="11"/>
      <c r="M4" s="11"/>
      <c r="N4" s="11"/>
      <c r="O4" s="11"/>
    </row>
    <row r="5" spans="1:15" s="12" customFormat="1" ht="24.2" customHeight="1" x14ac:dyDescent="0.2">
      <c r="A5" s="9" t="s">
        <v>7</v>
      </c>
      <c r="B5" s="9" t="s">
        <v>25</v>
      </c>
      <c r="C5" s="10">
        <v>2569</v>
      </c>
      <c r="D5" s="11">
        <v>16794</v>
      </c>
      <c r="E5" s="11">
        <v>19950</v>
      </c>
      <c r="F5" s="11">
        <v>24989</v>
      </c>
      <c r="G5" s="11">
        <v>32866</v>
      </c>
      <c r="H5" s="11">
        <v>32599</v>
      </c>
      <c r="I5" s="11">
        <v>25101</v>
      </c>
      <c r="J5" s="11">
        <v>15836</v>
      </c>
      <c r="K5" s="11">
        <v>11458</v>
      </c>
      <c r="L5" s="11"/>
      <c r="M5" s="11"/>
      <c r="N5" s="11"/>
      <c r="O5" s="11"/>
    </row>
    <row r="6" spans="1:15" s="12" customFormat="1" ht="24.2" customHeight="1" x14ac:dyDescent="0.2">
      <c r="A6" s="14" t="s">
        <v>41</v>
      </c>
      <c r="B6" s="9" t="s">
        <v>25</v>
      </c>
      <c r="C6" s="10">
        <v>2569</v>
      </c>
      <c r="D6" s="11">
        <v>2216</v>
      </c>
      <c r="E6" s="11">
        <v>2104</v>
      </c>
      <c r="F6" s="11">
        <v>2867</v>
      </c>
      <c r="G6" s="11">
        <v>3371</v>
      </c>
      <c r="H6" s="11">
        <v>2632</v>
      </c>
      <c r="I6" s="11">
        <v>1861</v>
      </c>
      <c r="J6" s="11">
        <v>1666</v>
      </c>
      <c r="K6" s="11">
        <v>1313</v>
      </c>
      <c r="L6" s="11"/>
      <c r="M6" s="11"/>
      <c r="N6" s="11"/>
      <c r="O6" s="11"/>
    </row>
    <row r="7" spans="1:15" s="12" customFormat="1" ht="24.2" customHeight="1" x14ac:dyDescent="0.2">
      <c r="A7" s="14" t="s">
        <v>42</v>
      </c>
      <c r="B7" s="9" t="s">
        <v>25</v>
      </c>
      <c r="C7" s="10">
        <v>2569</v>
      </c>
      <c r="D7" s="11">
        <v>380</v>
      </c>
      <c r="E7" s="11">
        <v>257</v>
      </c>
      <c r="F7" s="11">
        <v>506</v>
      </c>
      <c r="G7" s="11">
        <v>577</v>
      </c>
      <c r="H7" s="11">
        <v>456</v>
      </c>
      <c r="I7" s="11">
        <v>241</v>
      </c>
      <c r="J7" s="11">
        <v>283</v>
      </c>
      <c r="K7" s="11">
        <v>197</v>
      </c>
      <c r="L7" s="11"/>
      <c r="M7" s="11"/>
      <c r="N7" s="11"/>
      <c r="O7" s="11"/>
    </row>
    <row r="8" spans="1:15" s="12" customFormat="1" ht="24.6" customHeight="1" x14ac:dyDescent="0.2">
      <c r="A8" s="9" t="s">
        <v>26</v>
      </c>
      <c r="B8" s="9" t="s">
        <v>25</v>
      </c>
      <c r="C8" s="10">
        <v>2569</v>
      </c>
      <c r="D8" s="11">
        <v>322</v>
      </c>
      <c r="E8" s="11">
        <v>105</v>
      </c>
      <c r="F8" s="11">
        <v>247</v>
      </c>
      <c r="G8" s="11">
        <v>226</v>
      </c>
      <c r="H8" s="11">
        <v>4</v>
      </c>
      <c r="I8" s="11">
        <v>92</v>
      </c>
      <c r="J8" s="11">
        <v>47</v>
      </c>
      <c r="K8" s="11">
        <v>343</v>
      </c>
      <c r="L8" s="11"/>
      <c r="M8" s="11"/>
      <c r="N8" s="11"/>
      <c r="O8" s="11"/>
    </row>
    <row r="9" spans="1:15" s="12" customFormat="1" ht="24.2" customHeight="1" x14ac:dyDescent="0.2">
      <c r="A9" s="9" t="s">
        <v>27</v>
      </c>
      <c r="B9" s="9" t="s">
        <v>25</v>
      </c>
      <c r="C9" s="10">
        <v>2569</v>
      </c>
      <c r="D9" s="11">
        <v>105</v>
      </c>
      <c r="E9" s="11">
        <v>32</v>
      </c>
      <c r="F9" s="11">
        <v>137</v>
      </c>
      <c r="G9" s="11">
        <v>68</v>
      </c>
      <c r="H9" s="11">
        <v>20</v>
      </c>
      <c r="I9" s="11">
        <v>58</v>
      </c>
      <c r="J9" s="11">
        <v>11</v>
      </c>
      <c r="K9" s="11">
        <v>71</v>
      </c>
      <c r="L9" s="11"/>
      <c r="M9" s="11"/>
      <c r="N9" s="11"/>
      <c r="O9" s="11"/>
    </row>
    <row r="10" spans="1:15" s="12" customFormat="1" ht="24.2" customHeight="1" x14ac:dyDescent="0.2">
      <c r="A10" s="9" t="s">
        <v>6</v>
      </c>
      <c r="B10" s="9" t="s">
        <v>25</v>
      </c>
      <c r="C10" s="10">
        <v>2569</v>
      </c>
      <c r="D10" s="11">
        <f>10884+8449</f>
        <v>19333</v>
      </c>
      <c r="E10" s="11">
        <f>6809+3417</f>
        <v>10226</v>
      </c>
      <c r="F10" s="11">
        <f>17172+7787</f>
        <v>24959</v>
      </c>
      <c r="G10" s="11">
        <f>40374+16896</f>
        <v>57270</v>
      </c>
      <c r="H10" s="11">
        <f>5595+2873</f>
        <v>8468</v>
      </c>
      <c r="I10" s="11">
        <f>10420+3611</f>
        <v>14031</v>
      </c>
      <c r="J10" s="11">
        <f>16515+6653</f>
        <v>23168</v>
      </c>
      <c r="K10" s="11">
        <f>7289+4267</f>
        <v>11556</v>
      </c>
      <c r="L10" s="11"/>
      <c r="M10" s="11"/>
      <c r="N10" s="11"/>
      <c r="O10" s="11"/>
    </row>
    <row r="11" spans="1:15" s="12" customFormat="1" ht="24.2" customHeight="1" x14ac:dyDescent="0.2">
      <c r="A11" s="15" t="s">
        <v>4</v>
      </c>
      <c r="B11" s="15" t="s">
        <v>1</v>
      </c>
      <c r="C11" s="16">
        <v>2569</v>
      </c>
      <c r="D11" s="17">
        <f>15215+11913</f>
        <v>27128</v>
      </c>
      <c r="E11" s="17">
        <f>8481+3685</f>
        <v>12166</v>
      </c>
      <c r="F11" s="17">
        <f>12580+9671</f>
        <v>22251</v>
      </c>
      <c r="G11" s="17">
        <f>11298+7027</f>
        <v>18325</v>
      </c>
      <c r="H11" s="17">
        <f>6339+5956</f>
        <v>12295</v>
      </c>
      <c r="I11" s="17">
        <f>5717+7354</f>
        <v>13071</v>
      </c>
      <c r="J11" s="17">
        <f>5841+6305</f>
        <v>12146</v>
      </c>
      <c r="K11" s="17">
        <f>8356+7186</f>
        <v>15542</v>
      </c>
      <c r="L11" s="17"/>
      <c r="M11" s="17"/>
      <c r="N11" s="17"/>
      <c r="O11" s="17"/>
    </row>
    <row r="12" spans="1:15" s="12" customFormat="1" ht="24.2" customHeight="1" x14ac:dyDescent="0.2">
      <c r="A12" s="15" t="s">
        <v>5</v>
      </c>
      <c r="B12" s="15" t="s">
        <v>1</v>
      </c>
      <c r="C12" s="16">
        <v>2569</v>
      </c>
      <c r="D12" s="17">
        <f>4174+4473</f>
        <v>8647</v>
      </c>
      <c r="E12" s="17">
        <f>2032+918</f>
        <v>2950</v>
      </c>
      <c r="F12" s="17">
        <f>2663+3025</f>
        <v>5688</v>
      </c>
      <c r="G12" s="17">
        <f>1483+1625</f>
        <v>3108</v>
      </c>
      <c r="H12" s="17">
        <f>1181+1600</f>
        <v>2781</v>
      </c>
      <c r="I12" s="17">
        <f>1270+2376</f>
        <v>3646</v>
      </c>
      <c r="J12" s="17">
        <f>1367+2350</f>
        <v>3717</v>
      </c>
      <c r="K12" s="17">
        <f>1944+2401</f>
        <v>4345</v>
      </c>
      <c r="L12" s="17"/>
      <c r="M12" s="17"/>
      <c r="N12" s="17"/>
      <c r="O12" s="17"/>
    </row>
    <row r="13" spans="1:15" s="12" customFormat="1" ht="24.6" customHeight="1" x14ac:dyDescent="0.2">
      <c r="A13" s="15" t="s">
        <v>11</v>
      </c>
      <c r="B13" s="15" t="s">
        <v>1</v>
      </c>
      <c r="C13" s="16">
        <v>2569</v>
      </c>
      <c r="D13" s="17">
        <v>555</v>
      </c>
      <c r="E13" s="17">
        <v>3585</v>
      </c>
      <c r="F13" s="17">
        <v>5138</v>
      </c>
      <c r="G13" s="17">
        <v>6114</v>
      </c>
      <c r="H13" s="17">
        <v>6100</v>
      </c>
      <c r="I13" s="17">
        <v>4167</v>
      </c>
      <c r="J13" s="17">
        <v>687</v>
      </c>
      <c r="K13" s="17">
        <v>318</v>
      </c>
      <c r="L13" s="17"/>
      <c r="M13" s="17"/>
      <c r="N13" s="17"/>
      <c r="O13" s="17"/>
    </row>
    <row r="14" spans="1:15" s="12" customFormat="1" ht="24.2" customHeight="1" x14ac:dyDescent="0.2">
      <c r="A14" s="15" t="s">
        <v>7</v>
      </c>
      <c r="B14" s="15" t="s">
        <v>1</v>
      </c>
      <c r="C14" s="16">
        <v>2569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s="12" customFormat="1" ht="24.2" customHeight="1" x14ac:dyDescent="0.2">
      <c r="A15" s="18" t="s">
        <v>41</v>
      </c>
      <c r="B15" s="15" t="s">
        <v>1</v>
      </c>
      <c r="C15" s="16">
        <v>2569</v>
      </c>
      <c r="D15" s="17">
        <f>1768+472</f>
        <v>2240</v>
      </c>
      <c r="E15" s="17">
        <f>2461+368</f>
        <v>2829</v>
      </c>
      <c r="F15" s="17">
        <f>3628+884</f>
        <v>4512</v>
      </c>
      <c r="G15" s="17">
        <f>4142+4</f>
        <v>4146</v>
      </c>
      <c r="H15" s="17">
        <f>3795+4</f>
        <v>3799</v>
      </c>
      <c r="I15" s="17">
        <f>1970+276</f>
        <v>2246</v>
      </c>
      <c r="J15" s="17">
        <f>2033+2</f>
        <v>2035</v>
      </c>
      <c r="K15" s="17">
        <f>1704+13</f>
        <v>1717</v>
      </c>
      <c r="L15" s="17"/>
      <c r="M15" s="17"/>
      <c r="N15" s="17"/>
      <c r="O15" s="17"/>
    </row>
    <row r="16" spans="1:15" s="12" customFormat="1" ht="24.2" customHeight="1" x14ac:dyDescent="0.2">
      <c r="A16" s="18" t="s">
        <v>42</v>
      </c>
      <c r="B16" s="15" t="s">
        <v>1</v>
      </c>
      <c r="C16" s="16">
        <v>2569</v>
      </c>
      <c r="D16" s="17">
        <f>218+154</f>
        <v>372</v>
      </c>
      <c r="E16" s="17">
        <f>277+90</f>
        <v>367</v>
      </c>
      <c r="F16" s="17">
        <f>585+296</f>
        <v>881</v>
      </c>
      <c r="G16" s="17">
        <v>645</v>
      </c>
      <c r="H16" s="17">
        <v>753</v>
      </c>
      <c r="I16" s="17">
        <f>258+37</f>
        <v>295</v>
      </c>
      <c r="J16" s="17">
        <v>388</v>
      </c>
      <c r="K16" s="17">
        <v>269</v>
      </c>
      <c r="L16" s="17"/>
      <c r="M16" s="17"/>
      <c r="N16" s="17"/>
      <c r="O16" s="17"/>
    </row>
    <row r="17" spans="1:15" s="12" customFormat="1" ht="24.6" customHeight="1" x14ac:dyDescent="0.2">
      <c r="A17" s="15" t="s">
        <v>26</v>
      </c>
      <c r="B17" s="15" t="s">
        <v>1</v>
      </c>
      <c r="C17" s="16">
        <v>2569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</row>
    <row r="18" spans="1:15" s="12" customFormat="1" ht="24.2" customHeight="1" x14ac:dyDescent="0.2">
      <c r="A18" s="15" t="s">
        <v>27</v>
      </c>
      <c r="B18" s="15" t="s">
        <v>1</v>
      </c>
      <c r="C18" s="16">
        <v>2569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</row>
    <row r="19" spans="1:15" s="12" customFormat="1" ht="24.2" customHeight="1" x14ac:dyDescent="0.2">
      <c r="A19" s="15" t="s">
        <v>6</v>
      </c>
      <c r="B19" s="15" t="s">
        <v>1</v>
      </c>
      <c r="C19" s="16">
        <v>2569</v>
      </c>
      <c r="D19" s="17">
        <f>3541+5005</f>
        <v>8546</v>
      </c>
      <c r="E19" s="17">
        <f>1429+2735</f>
        <v>4164</v>
      </c>
      <c r="F19" s="17">
        <f>8818+6265</f>
        <v>15083</v>
      </c>
      <c r="G19" s="17">
        <f>33110+17850</f>
        <v>50960</v>
      </c>
      <c r="H19" s="17">
        <f>2630+1919</f>
        <v>4549</v>
      </c>
      <c r="I19" s="17">
        <f>1806+1515</f>
        <v>3321</v>
      </c>
      <c r="J19" s="17">
        <f>2604+1606</f>
        <v>4210</v>
      </c>
      <c r="K19" s="17">
        <f>1848+1830</f>
        <v>3678</v>
      </c>
      <c r="L19" s="17"/>
      <c r="M19" s="17"/>
      <c r="N19" s="17"/>
      <c r="O19" s="17"/>
    </row>
    <row r="20" spans="1:15" s="12" customFormat="1" ht="24.2" customHeight="1" x14ac:dyDescent="0.2">
      <c r="A20" s="19" t="s">
        <v>4</v>
      </c>
      <c r="B20" s="19" t="s">
        <v>2</v>
      </c>
      <c r="C20" s="20">
        <v>2569</v>
      </c>
      <c r="D20" s="21">
        <f>32790+6119</f>
        <v>38909</v>
      </c>
      <c r="E20" s="21">
        <f>13233+5084</f>
        <v>18317</v>
      </c>
      <c r="F20" s="21">
        <f>21563+8351</f>
        <v>29914</v>
      </c>
      <c r="G20" s="21">
        <f>19653+5556</f>
        <v>25209</v>
      </c>
      <c r="H20" s="21">
        <f>15989+7219</f>
        <v>23208</v>
      </c>
      <c r="I20" s="21">
        <f>21655+9952</f>
        <v>31607</v>
      </c>
      <c r="J20" s="21">
        <f>22190+5122</f>
        <v>27312</v>
      </c>
      <c r="K20" s="21">
        <f>25417+4987</f>
        <v>30404</v>
      </c>
      <c r="L20" s="21"/>
      <c r="M20" s="21"/>
      <c r="N20" s="21"/>
      <c r="O20" s="21"/>
    </row>
    <row r="21" spans="1:15" s="12" customFormat="1" ht="24.2" customHeight="1" x14ac:dyDescent="0.2">
      <c r="A21" s="19" t="s">
        <v>5</v>
      </c>
      <c r="B21" s="19" t="s">
        <v>2</v>
      </c>
      <c r="C21" s="20">
        <v>2569</v>
      </c>
      <c r="D21" s="21">
        <f>15014+75</f>
        <v>15089</v>
      </c>
      <c r="E21" s="21">
        <f>5898+14</f>
        <v>5912</v>
      </c>
      <c r="F21" s="21">
        <f>9130+18</f>
        <v>9148</v>
      </c>
      <c r="G21" s="21">
        <f>5196+117</f>
        <v>5313</v>
      </c>
      <c r="H21" s="21">
        <f>10369+194</f>
        <v>10563</v>
      </c>
      <c r="I21" s="21">
        <f>16788+10</f>
        <v>16798</v>
      </c>
      <c r="J21" s="21">
        <f>11728+108</f>
        <v>11836</v>
      </c>
      <c r="K21" s="21">
        <f>11924+22</f>
        <v>11946</v>
      </c>
      <c r="L21" s="21"/>
      <c r="M21" s="21"/>
      <c r="N21" s="21"/>
      <c r="O21" s="21"/>
    </row>
    <row r="22" spans="1:15" s="12" customFormat="1" ht="24.6" customHeight="1" x14ac:dyDescent="0.2">
      <c r="A22" s="19" t="s">
        <v>11</v>
      </c>
      <c r="B22" s="19" t="s">
        <v>2</v>
      </c>
      <c r="C22" s="20">
        <v>2569</v>
      </c>
      <c r="D22" s="21">
        <v>3847</v>
      </c>
      <c r="E22" s="21">
        <v>16119</v>
      </c>
      <c r="F22" s="21">
        <v>29883</v>
      </c>
      <c r="G22" s="21">
        <v>25442</v>
      </c>
      <c r="H22" s="21">
        <v>31963</v>
      </c>
      <c r="I22" s="21">
        <v>24717</v>
      </c>
      <c r="J22" s="21">
        <v>423</v>
      </c>
      <c r="K22" s="21">
        <v>174</v>
      </c>
      <c r="L22" s="21"/>
      <c r="M22" s="21"/>
      <c r="N22" s="21"/>
      <c r="O22" s="21"/>
    </row>
    <row r="23" spans="1:15" s="12" customFormat="1" ht="24.2" customHeight="1" x14ac:dyDescent="0.2">
      <c r="A23" s="19" t="s">
        <v>7</v>
      </c>
      <c r="B23" s="19" t="s">
        <v>2</v>
      </c>
      <c r="C23" s="20">
        <v>2569</v>
      </c>
      <c r="D23" s="21">
        <f>28+10</f>
        <v>38</v>
      </c>
      <c r="E23" s="21">
        <v>32</v>
      </c>
      <c r="F23" s="21">
        <v>26</v>
      </c>
      <c r="G23" s="21">
        <v>8</v>
      </c>
      <c r="H23" s="21">
        <v>188</v>
      </c>
      <c r="I23" s="21">
        <v>187</v>
      </c>
      <c r="J23" s="21">
        <v>0</v>
      </c>
      <c r="K23" s="21">
        <v>25</v>
      </c>
      <c r="L23" s="21"/>
      <c r="M23" s="21">
        <v>0</v>
      </c>
      <c r="N23" s="21"/>
      <c r="O23" s="21"/>
    </row>
    <row r="24" spans="1:15" s="12" customFormat="1" ht="24.2" customHeight="1" x14ac:dyDescent="0.2">
      <c r="A24" s="22" t="s">
        <v>41</v>
      </c>
      <c r="B24" s="19" t="s">
        <v>2</v>
      </c>
      <c r="C24" s="20">
        <v>2569</v>
      </c>
      <c r="D24" s="21">
        <v>275</v>
      </c>
      <c r="E24" s="21">
        <v>270</v>
      </c>
      <c r="F24" s="21">
        <v>432</v>
      </c>
      <c r="G24" s="21">
        <v>483</v>
      </c>
      <c r="H24" s="21">
        <v>387</v>
      </c>
      <c r="I24" s="21">
        <v>255</v>
      </c>
      <c r="J24" s="21">
        <f>301+28</f>
        <v>329</v>
      </c>
      <c r="K24" s="21">
        <v>183</v>
      </c>
      <c r="L24" s="21"/>
      <c r="M24" s="21"/>
      <c r="N24" s="21"/>
      <c r="O24" s="21"/>
    </row>
    <row r="25" spans="1:15" s="12" customFormat="1" ht="24.2" customHeight="1" x14ac:dyDescent="0.2">
      <c r="A25" s="22" t="s">
        <v>42</v>
      </c>
      <c r="B25" s="19" t="s">
        <v>2</v>
      </c>
      <c r="C25" s="20">
        <v>2569</v>
      </c>
      <c r="D25" s="21">
        <v>16</v>
      </c>
      <c r="E25" s="21">
        <v>27</v>
      </c>
      <c r="F25" s="21">
        <v>39</v>
      </c>
      <c r="G25" s="21">
        <v>24</v>
      </c>
      <c r="H25" s="21">
        <v>45</v>
      </c>
      <c r="I25" s="21">
        <v>18</v>
      </c>
      <c r="J25" s="21">
        <v>35</v>
      </c>
      <c r="K25" s="21">
        <v>13</v>
      </c>
      <c r="L25" s="21"/>
      <c r="M25" s="21"/>
      <c r="N25" s="21"/>
      <c r="O25" s="21"/>
    </row>
    <row r="26" spans="1:15" s="12" customFormat="1" ht="24.6" customHeight="1" x14ac:dyDescent="0.2">
      <c r="A26" s="19" t="s">
        <v>26</v>
      </c>
      <c r="B26" s="19" t="s">
        <v>2</v>
      </c>
      <c r="C26" s="20">
        <v>2569</v>
      </c>
      <c r="D26" s="21">
        <v>0</v>
      </c>
      <c r="E26" s="21">
        <v>0</v>
      </c>
      <c r="F26" s="21">
        <v>24</v>
      </c>
      <c r="G26" s="21">
        <v>20</v>
      </c>
      <c r="H26" s="21">
        <v>0</v>
      </c>
      <c r="I26" s="21">
        <v>0</v>
      </c>
      <c r="J26" s="21">
        <v>0</v>
      </c>
      <c r="K26" s="21">
        <v>0</v>
      </c>
      <c r="L26" s="21"/>
      <c r="M26" s="21"/>
      <c r="N26" s="21"/>
      <c r="O26" s="21">
        <v>0</v>
      </c>
    </row>
    <row r="27" spans="1:15" s="12" customFormat="1" ht="24.2" customHeight="1" x14ac:dyDescent="0.2">
      <c r="A27" s="19" t="s">
        <v>27</v>
      </c>
      <c r="B27" s="19" t="s">
        <v>2</v>
      </c>
      <c r="C27" s="20">
        <v>2569</v>
      </c>
      <c r="D27" s="21">
        <v>0</v>
      </c>
      <c r="E27" s="21">
        <v>0</v>
      </c>
      <c r="F27" s="21">
        <v>11</v>
      </c>
      <c r="G27" s="21">
        <v>177</v>
      </c>
      <c r="H27" s="21">
        <v>0</v>
      </c>
      <c r="I27" s="21">
        <v>0</v>
      </c>
      <c r="J27" s="21">
        <v>0</v>
      </c>
      <c r="K27" s="21">
        <v>0</v>
      </c>
      <c r="L27" s="21"/>
      <c r="M27" s="21"/>
      <c r="N27" s="21">
        <v>0</v>
      </c>
      <c r="O27" s="21">
        <v>0</v>
      </c>
    </row>
    <row r="28" spans="1:15" s="12" customFormat="1" ht="24.2" customHeight="1" x14ac:dyDescent="0.2">
      <c r="A28" s="19" t="s">
        <v>6</v>
      </c>
      <c r="B28" s="19" t="s">
        <v>2</v>
      </c>
      <c r="C28" s="20">
        <v>2569</v>
      </c>
      <c r="D28" s="21">
        <f>5191+8474</f>
        <v>13665</v>
      </c>
      <c r="E28" s="21">
        <f>2581+2964</f>
        <v>5545</v>
      </c>
      <c r="F28" s="21">
        <f>9942+8794</f>
        <v>18736</v>
      </c>
      <c r="G28" s="21">
        <f>45501+26985</f>
        <v>72486</v>
      </c>
      <c r="H28" s="21">
        <f>2832+3157</f>
        <v>5989</v>
      </c>
      <c r="I28" s="21">
        <f>4054+4470</f>
        <v>8524</v>
      </c>
      <c r="J28" s="21">
        <f>8991+5551</f>
        <v>14542</v>
      </c>
      <c r="K28" s="21">
        <f>4682+4470</f>
        <v>9152</v>
      </c>
      <c r="L28" s="21"/>
      <c r="M28" s="21"/>
      <c r="N28" s="21"/>
      <c r="O28" s="21"/>
    </row>
    <row r="29" spans="1:15" s="12" customFormat="1" ht="24.2" customHeight="1" x14ac:dyDescent="0.2">
      <c r="A29" s="23" t="s">
        <v>4</v>
      </c>
      <c r="B29" s="23" t="s">
        <v>10</v>
      </c>
      <c r="C29" s="24">
        <v>2569</v>
      </c>
      <c r="D29" s="25">
        <f>7250+3973</f>
        <v>11223</v>
      </c>
      <c r="E29" s="25">
        <f>3288+299</f>
        <v>3587</v>
      </c>
      <c r="F29" s="25">
        <f>2838+303</f>
        <v>3141</v>
      </c>
      <c r="G29" s="25">
        <f>10915+458</f>
        <v>11373</v>
      </c>
      <c r="H29" s="25">
        <f>7456+414</f>
        <v>7870</v>
      </c>
      <c r="I29" s="25">
        <f>6082+496</f>
        <v>6578</v>
      </c>
      <c r="J29" s="25">
        <f>7691+701</f>
        <v>8392</v>
      </c>
      <c r="K29" s="25">
        <f>6554+1269</f>
        <v>7823</v>
      </c>
      <c r="L29" s="25"/>
      <c r="M29" s="25"/>
      <c r="N29" s="25"/>
      <c r="O29" s="25"/>
    </row>
    <row r="30" spans="1:15" s="12" customFormat="1" ht="24.2" customHeight="1" x14ac:dyDescent="0.2">
      <c r="A30" s="23" t="s">
        <v>5</v>
      </c>
      <c r="B30" s="23" t="s">
        <v>10</v>
      </c>
      <c r="C30" s="24">
        <v>2569</v>
      </c>
      <c r="D30" s="25">
        <f>2736+1346</f>
        <v>4082</v>
      </c>
      <c r="E30" s="25">
        <f>1187+35</f>
        <v>1222</v>
      </c>
      <c r="F30" s="25">
        <f>761+9</f>
        <v>770</v>
      </c>
      <c r="G30" s="25">
        <f>1268+5</f>
        <v>1273</v>
      </c>
      <c r="H30" s="25">
        <f>1808+14</f>
        <v>1822</v>
      </c>
      <c r="I30" s="25">
        <f>2112+15</f>
        <v>2127</v>
      </c>
      <c r="J30" s="25">
        <f>3140+46</f>
        <v>3186</v>
      </c>
      <c r="K30" s="25">
        <f>2966+30</f>
        <v>2996</v>
      </c>
      <c r="L30" s="25"/>
      <c r="M30" s="25"/>
      <c r="N30" s="25"/>
      <c r="O30" s="25"/>
    </row>
    <row r="31" spans="1:15" s="12" customFormat="1" ht="24.6" customHeight="1" x14ac:dyDescent="0.2">
      <c r="A31" s="23" t="s">
        <v>11</v>
      </c>
      <c r="B31" s="23" t="s">
        <v>10</v>
      </c>
      <c r="C31" s="24">
        <v>2569</v>
      </c>
      <c r="D31" s="25">
        <v>2938</v>
      </c>
      <c r="E31" s="25">
        <v>1938</v>
      </c>
      <c r="F31" s="25">
        <v>2486</v>
      </c>
      <c r="G31" s="25">
        <v>7870</v>
      </c>
      <c r="H31" s="25">
        <v>5670</v>
      </c>
      <c r="I31" s="25">
        <v>2443</v>
      </c>
      <c r="J31" s="25">
        <v>840</v>
      </c>
      <c r="K31" s="25">
        <v>225</v>
      </c>
      <c r="L31" s="25"/>
      <c r="M31" s="25"/>
      <c r="N31" s="25"/>
      <c r="O31" s="25"/>
    </row>
    <row r="32" spans="1:15" s="12" customFormat="1" ht="24.2" customHeight="1" x14ac:dyDescent="0.2">
      <c r="A32" s="23" t="s">
        <v>7</v>
      </c>
      <c r="B32" s="23" t="s">
        <v>10</v>
      </c>
      <c r="C32" s="24">
        <v>2569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</row>
    <row r="33" spans="1:15" s="12" customFormat="1" ht="24.2" customHeight="1" x14ac:dyDescent="0.2">
      <c r="A33" s="26" t="s">
        <v>41</v>
      </c>
      <c r="B33" s="23" t="s">
        <v>10</v>
      </c>
      <c r="C33" s="24">
        <v>2569</v>
      </c>
      <c r="D33" s="25">
        <f>751+778</f>
        <v>1529</v>
      </c>
      <c r="E33" s="25">
        <f>604+164</f>
        <v>768</v>
      </c>
      <c r="F33" s="25">
        <f>479+90</f>
        <v>569</v>
      </c>
      <c r="G33" s="25">
        <f>547+83</f>
        <v>630</v>
      </c>
      <c r="H33" s="25">
        <f>1112+176</f>
        <v>1288</v>
      </c>
      <c r="I33" s="25">
        <f>1212+209</f>
        <v>1421</v>
      </c>
      <c r="J33" s="25">
        <f>423+101</f>
        <v>524</v>
      </c>
      <c r="K33" s="25">
        <f>1874+329</f>
        <v>2203</v>
      </c>
      <c r="L33" s="25"/>
      <c r="M33" s="25"/>
      <c r="N33" s="25"/>
      <c r="O33" s="25"/>
    </row>
    <row r="34" spans="1:15" s="12" customFormat="1" ht="24.2" customHeight="1" x14ac:dyDescent="0.2">
      <c r="A34" s="26" t="s">
        <v>42</v>
      </c>
      <c r="B34" s="23" t="s">
        <v>10</v>
      </c>
      <c r="C34" s="24">
        <v>2569</v>
      </c>
      <c r="D34" s="25">
        <f>266+299</f>
        <v>565</v>
      </c>
      <c r="E34" s="25">
        <f>179+37</f>
        <v>216</v>
      </c>
      <c r="F34" s="25">
        <f>213+20</f>
        <v>233</v>
      </c>
      <c r="G34" s="25">
        <f>173+21</f>
        <v>194</v>
      </c>
      <c r="H34" s="25">
        <f>397+48</f>
        <v>445</v>
      </c>
      <c r="I34" s="25">
        <f>451+60</f>
        <v>511</v>
      </c>
      <c r="J34" s="25">
        <f>108+34</f>
        <v>142</v>
      </c>
      <c r="K34" s="25">
        <f>779+134</f>
        <v>913</v>
      </c>
      <c r="L34" s="25"/>
      <c r="M34" s="25"/>
      <c r="N34" s="25"/>
      <c r="O34" s="25"/>
    </row>
    <row r="35" spans="1:15" s="12" customFormat="1" ht="24.6" customHeight="1" x14ac:dyDescent="0.2">
      <c r="A35" s="23" t="s">
        <v>26</v>
      </c>
      <c r="B35" s="23" t="s">
        <v>10</v>
      </c>
      <c r="C35" s="24">
        <v>2569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</row>
    <row r="36" spans="1:15" s="12" customFormat="1" ht="24.2" customHeight="1" x14ac:dyDescent="0.2">
      <c r="A36" s="23" t="s">
        <v>27</v>
      </c>
      <c r="B36" s="23" t="s">
        <v>10</v>
      </c>
      <c r="C36" s="24">
        <v>2569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</row>
    <row r="37" spans="1:15" s="12" customFormat="1" ht="24.2" customHeight="1" x14ac:dyDescent="0.2">
      <c r="A37" s="23" t="s">
        <v>6</v>
      </c>
      <c r="B37" s="23" t="s">
        <v>10</v>
      </c>
      <c r="C37" s="24">
        <v>2569</v>
      </c>
      <c r="D37" s="25">
        <f>1203+2806</f>
        <v>4009</v>
      </c>
      <c r="E37" s="25">
        <f>384+735</f>
        <v>1119</v>
      </c>
      <c r="F37" s="25">
        <f>2071+1671</f>
        <v>3742</v>
      </c>
      <c r="G37" s="25">
        <f>11895+11412</f>
        <v>23307</v>
      </c>
      <c r="H37" s="25">
        <f>751+1251</f>
        <v>2002</v>
      </c>
      <c r="I37" s="25">
        <f>658+1181</f>
        <v>1839</v>
      </c>
      <c r="J37" s="25">
        <f>2420+2469</f>
        <v>4889</v>
      </c>
      <c r="K37" s="25">
        <f>860+1768</f>
        <v>2628</v>
      </c>
      <c r="L37" s="25"/>
      <c r="M37" s="25"/>
      <c r="N37" s="25"/>
      <c r="O37" s="25"/>
    </row>
    <row r="38" spans="1:15" s="12" customFormat="1" ht="24.2" customHeight="1" x14ac:dyDescent="0.2">
      <c r="A38" s="27" t="s">
        <v>4</v>
      </c>
      <c r="B38" s="27" t="s">
        <v>8</v>
      </c>
      <c r="C38" s="28">
        <v>2569</v>
      </c>
      <c r="D38" s="29">
        <f>9209+2689</f>
        <v>11898</v>
      </c>
      <c r="E38" s="29">
        <f>5607+3089</f>
        <v>8696</v>
      </c>
      <c r="F38" s="29">
        <f>9603+3812</f>
        <v>13415</v>
      </c>
      <c r="G38" s="29">
        <f>10050+2328</f>
        <v>12378</v>
      </c>
      <c r="H38" s="29">
        <f>4961+3660</f>
        <v>8621</v>
      </c>
      <c r="I38" s="29">
        <f>4943+3850</f>
        <v>8793</v>
      </c>
      <c r="J38" s="29">
        <f>5175+1994</f>
        <v>7169</v>
      </c>
      <c r="K38" s="29">
        <f>5034+2076</f>
        <v>7110</v>
      </c>
      <c r="L38" s="29"/>
      <c r="M38" s="29"/>
      <c r="N38" s="29"/>
      <c r="O38" s="29"/>
    </row>
    <row r="39" spans="1:15" s="12" customFormat="1" ht="24.2" customHeight="1" x14ac:dyDescent="0.2">
      <c r="A39" s="27" t="s">
        <v>5</v>
      </c>
      <c r="B39" s="27" t="s">
        <v>8</v>
      </c>
      <c r="C39" s="28">
        <v>2569</v>
      </c>
      <c r="D39" s="29">
        <f>3915+78</f>
        <v>3993</v>
      </c>
      <c r="E39" s="29">
        <f>2220+64</f>
        <v>2284</v>
      </c>
      <c r="F39" s="29">
        <f>3737+433</f>
        <v>4170</v>
      </c>
      <c r="G39" s="29">
        <f>1976+61</f>
        <v>2037</v>
      </c>
      <c r="H39" s="29">
        <f>2029</f>
        <v>2029</v>
      </c>
      <c r="I39" s="29">
        <f>2018+1</f>
        <v>2019</v>
      </c>
      <c r="J39" s="29">
        <v>2734</v>
      </c>
      <c r="K39" s="29">
        <f>2517+11</f>
        <v>2528</v>
      </c>
      <c r="L39" s="29"/>
      <c r="M39" s="29"/>
      <c r="N39" s="29"/>
      <c r="O39" s="29"/>
    </row>
    <row r="40" spans="1:15" s="12" customFormat="1" ht="24.6" customHeight="1" x14ac:dyDescent="0.2">
      <c r="A40" s="27" t="s">
        <v>11</v>
      </c>
      <c r="B40" s="27" t="s">
        <v>8</v>
      </c>
      <c r="C40" s="28">
        <v>2569</v>
      </c>
      <c r="D40" s="29">
        <v>4367</v>
      </c>
      <c r="E40" s="29">
        <v>11981</v>
      </c>
      <c r="F40" s="29">
        <v>8343</v>
      </c>
      <c r="G40" s="29">
        <v>7669</v>
      </c>
      <c r="H40" s="29">
        <v>11632</v>
      </c>
      <c r="I40" s="29">
        <v>11117</v>
      </c>
      <c r="J40" s="29">
        <v>47</v>
      </c>
      <c r="K40" s="29">
        <v>61</v>
      </c>
      <c r="L40" s="29"/>
      <c r="M40" s="29"/>
      <c r="N40" s="29"/>
      <c r="O40" s="29"/>
    </row>
    <row r="41" spans="1:15" s="12" customFormat="1" ht="24.2" customHeight="1" x14ac:dyDescent="0.2">
      <c r="A41" s="27" t="s">
        <v>7</v>
      </c>
      <c r="B41" s="27" t="s">
        <v>8</v>
      </c>
      <c r="C41" s="28">
        <v>2569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</row>
    <row r="42" spans="1:15" s="12" customFormat="1" ht="24.2" customHeight="1" x14ac:dyDescent="0.2">
      <c r="A42" s="30" t="s">
        <v>41</v>
      </c>
      <c r="B42" s="27" t="s">
        <v>8</v>
      </c>
      <c r="C42" s="28">
        <v>2569</v>
      </c>
      <c r="D42" s="29">
        <f>145+2</f>
        <v>147</v>
      </c>
      <c r="E42" s="29">
        <f>153+1</f>
        <v>154</v>
      </c>
      <c r="F42" s="29">
        <f>217+7</f>
        <v>224</v>
      </c>
      <c r="G42" s="29">
        <f>258+3</f>
        <v>261</v>
      </c>
      <c r="H42" s="29">
        <f>193+1</f>
        <v>194</v>
      </c>
      <c r="I42" s="29">
        <f>136+5</f>
        <v>141</v>
      </c>
      <c r="J42" s="29">
        <f>143+4</f>
        <v>147</v>
      </c>
      <c r="K42" s="29">
        <f>176+3</f>
        <v>179</v>
      </c>
      <c r="L42" s="29"/>
      <c r="M42" s="29"/>
      <c r="N42" s="29"/>
      <c r="O42" s="29"/>
    </row>
    <row r="43" spans="1:15" s="12" customFormat="1" ht="24.2" customHeight="1" x14ac:dyDescent="0.2">
      <c r="A43" s="30" t="s">
        <v>42</v>
      </c>
      <c r="B43" s="27" t="s">
        <v>8</v>
      </c>
      <c r="C43" s="28">
        <v>2569</v>
      </c>
      <c r="D43" s="29">
        <v>35</v>
      </c>
      <c r="E43" s="29">
        <v>27</v>
      </c>
      <c r="F43" s="29">
        <v>40</v>
      </c>
      <c r="G43" s="29">
        <v>41</v>
      </c>
      <c r="H43" s="29">
        <v>35</v>
      </c>
      <c r="I43" s="29">
        <v>23</v>
      </c>
      <c r="J43" s="29">
        <v>18</v>
      </c>
      <c r="K43" s="29">
        <v>43</v>
      </c>
      <c r="L43" s="29"/>
      <c r="M43" s="29"/>
      <c r="N43" s="29"/>
      <c r="O43" s="29"/>
    </row>
    <row r="44" spans="1:15" s="12" customFormat="1" ht="24.6" customHeight="1" x14ac:dyDescent="0.2">
      <c r="A44" s="27" t="s">
        <v>26</v>
      </c>
      <c r="B44" s="27" t="s">
        <v>8</v>
      </c>
      <c r="C44" s="28">
        <v>2569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</row>
    <row r="45" spans="1:15" s="12" customFormat="1" ht="24.2" customHeight="1" x14ac:dyDescent="0.2">
      <c r="A45" s="27" t="s">
        <v>27</v>
      </c>
      <c r="B45" s="27" t="s">
        <v>8</v>
      </c>
      <c r="C45" s="28">
        <v>2569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</row>
    <row r="46" spans="1:15" s="12" customFormat="1" ht="24.2" customHeight="1" x14ac:dyDescent="0.2">
      <c r="A46" s="27" t="s">
        <v>6</v>
      </c>
      <c r="B46" s="27" t="s">
        <v>8</v>
      </c>
      <c r="C46" s="28">
        <v>2569</v>
      </c>
      <c r="D46" s="29">
        <f>2259+2382</f>
        <v>4641</v>
      </c>
      <c r="E46" s="29">
        <f>1360+1169</f>
        <v>2529</v>
      </c>
      <c r="F46" s="29">
        <f>4671+3822</f>
        <v>8493</v>
      </c>
      <c r="G46" s="29">
        <f>17849+12977</f>
        <v>30826</v>
      </c>
      <c r="H46" s="29">
        <f>3158+1027</f>
        <v>4185</v>
      </c>
      <c r="I46" s="29">
        <f>1770+991</f>
        <v>2761</v>
      </c>
      <c r="J46" s="29">
        <f>4677+1132</f>
        <v>5809</v>
      </c>
      <c r="K46" s="29">
        <f>1275+1230</f>
        <v>2505</v>
      </c>
      <c r="L46" s="29"/>
      <c r="M46" s="29"/>
      <c r="N46" s="29"/>
      <c r="O46" s="29"/>
    </row>
    <row r="47" spans="1:15" s="12" customFormat="1" ht="24.2" customHeight="1" x14ac:dyDescent="0.2">
      <c r="A47" s="31" t="s">
        <v>4</v>
      </c>
      <c r="B47" s="31" t="s">
        <v>9</v>
      </c>
      <c r="C47" s="32">
        <v>2569</v>
      </c>
      <c r="D47" s="33">
        <f>20995+1290</f>
        <v>22285</v>
      </c>
      <c r="E47" s="33">
        <f>9718+709</f>
        <v>10427</v>
      </c>
      <c r="F47" s="33">
        <f>16175+755</f>
        <v>16930</v>
      </c>
      <c r="G47" s="33">
        <f>12874+510</f>
        <v>13384</v>
      </c>
      <c r="H47" s="33">
        <f>9840+576</f>
        <v>10416</v>
      </c>
      <c r="I47" s="33">
        <f>10172+409</f>
        <v>10581</v>
      </c>
      <c r="J47" s="33">
        <f>12468+466</f>
        <v>12934</v>
      </c>
      <c r="K47" s="33">
        <f>12164+899</f>
        <v>13063</v>
      </c>
      <c r="L47" s="33"/>
      <c r="M47" s="33"/>
      <c r="N47" s="33"/>
      <c r="O47" s="33"/>
    </row>
    <row r="48" spans="1:15" s="12" customFormat="1" ht="24.2" customHeight="1" x14ac:dyDescent="0.2">
      <c r="A48" s="31" t="s">
        <v>5</v>
      </c>
      <c r="B48" s="31" t="s">
        <v>9</v>
      </c>
      <c r="C48" s="32">
        <v>2569</v>
      </c>
      <c r="D48" s="33">
        <v>8196</v>
      </c>
      <c r="E48" s="33">
        <f>4131+1</f>
        <v>4132</v>
      </c>
      <c r="F48" s="33">
        <f>5285+1</f>
        <v>5286</v>
      </c>
      <c r="G48" s="33">
        <v>2717</v>
      </c>
      <c r="H48" s="33">
        <f>3176+2</f>
        <v>3178</v>
      </c>
      <c r="I48" s="33">
        <f>3743+16</f>
        <v>3759</v>
      </c>
      <c r="J48" s="33">
        <f>5087+4</f>
        <v>5091</v>
      </c>
      <c r="K48" s="33">
        <f>4771+14</f>
        <v>4785</v>
      </c>
      <c r="L48" s="33"/>
      <c r="M48" s="33"/>
      <c r="N48" s="33"/>
      <c r="O48" s="33"/>
    </row>
    <row r="49" spans="1:17" s="12" customFormat="1" ht="24.6" customHeight="1" x14ac:dyDescent="0.2">
      <c r="A49" s="31" t="s">
        <v>11</v>
      </c>
      <c r="B49" s="31" t="s">
        <v>9</v>
      </c>
      <c r="C49" s="32">
        <v>2569</v>
      </c>
      <c r="D49" s="33">
        <v>5717</v>
      </c>
      <c r="E49" s="33">
        <v>10479</v>
      </c>
      <c r="F49" s="33">
        <v>14473</v>
      </c>
      <c r="G49" s="33">
        <v>16085</v>
      </c>
      <c r="H49" s="33">
        <v>20639</v>
      </c>
      <c r="I49" s="33">
        <v>16875</v>
      </c>
      <c r="J49" s="33">
        <v>55</v>
      </c>
      <c r="K49" s="33">
        <v>0</v>
      </c>
      <c r="L49" s="33"/>
      <c r="M49" s="33"/>
      <c r="N49" s="33"/>
      <c r="O49" s="33"/>
    </row>
    <row r="50" spans="1:17" s="12" customFormat="1" ht="24.2" customHeight="1" x14ac:dyDescent="0.2">
      <c r="A50" s="31" t="s">
        <v>7</v>
      </c>
      <c r="B50" s="31" t="s">
        <v>9</v>
      </c>
      <c r="C50" s="32">
        <v>2569</v>
      </c>
      <c r="D50" s="33">
        <v>1112</v>
      </c>
      <c r="E50" s="33">
        <v>1740</v>
      </c>
      <c r="F50" s="33">
        <v>2258</v>
      </c>
      <c r="G50" s="33">
        <v>2095</v>
      </c>
      <c r="H50" s="33">
        <v>3891</v>
      </c>
      <c r="I50" s="33">
        <v>4180</v>
      </c>
      <c r="J50" s="33">
        <v>18</v>
      </c>
      <c r="K50" s="33">
        <v>0</v>
      </c>
      <c r="L50" s="33"/>
      <c r="M50" s="33"/>
      <c r="N50" s="33"/>
      <c r="O50" s="33"/>
    </row>
    <row r="51" spans="1:17" s="12" customFormat="1" ht="24.2" customHeight="1" x14ac:dyDescent="0.2">
      <c r="A51" s="34" t="s">
        <v>41</v>
      </c>
      <c r="B51" s="31" t="s">
        <v>9</v>
      </c>
      <c r="C51" s="32">
        <v>2569</v>
      </c>
      <c r="D51" s="33">
        <f>632+14</f>
        <v>646</v>
      </c>
      <c r="E51" s="33">
        <f>588+5</f>
        <v>593</v>
      </c>
      <c r="F51" s="33">
        <f>858+10</f>
        <v>868</v>
      </c>
      <c r="G51" s="33">
        <f>1048+281</f>
        <v>1329</v>
      </c>
      <c r="H51" s="33">
        <f>608+46</f>
        <v>654</v>
      </c>
      <c r="I51" s="33">
        <f>615+19</f>
        <v>634</v>
      </c>
      <c r="J51" s="33">
        <f>424+41</f>
        <v>465</v>
      </c>
      <c r="K51" s="33">
        <f>552+7</f>
        <v>559</v>
      </c>
      <c r="L51" s="33"/>
      <c r="M51" s="33"/>
      <c r="N51" s="33"/>
      <c r="O51" s="33"/>
    </row>
    <row r="52" spans="1:17" s="12" customFormat="1" ht="24.2" customHeight="1" x14ac:dyDescent="0.2">
      <c r="A52" s="34" t="s">
        <v>42</v>
      </c>
      <c r="B52" s="31" t="s">
        <v>9</v>
      </c>
      <c r="C52" s="32">
        <v>2569</v>
      </c>
      <c r="D52" s="33">
        <v>158</v>
      </c>
      <c r="E52" s="33">
        <v>131</v>
      </c>
      <c r="F52" s="33">
        <v>198</v>
      </c>
      <c r="G52" s="33">
        <v>241</v>
      </c>
      <c r="H52" s="33">
        <v>155</v>
      </c>
      <c r="I52" s="33">
        <f>203</f>
        <v>203</v>
      </c>
      <c r="J52" s="33">
        <f>86+2</f>
        <v>88</v>
      </c>
      <c r="K52" s="33">
        <v>183</v>
      </c>
      <c r="L52" s="33"/>
      <c r="M52" s="33"/>
      <c r="N52" s="33"/>
      <c r="O52" s="33"/>
    </row>
    <row r="53" spans="1:17" s="12" customFormat="1" ht="24.6" customHeight="1" x14ac:dyDescent="0.2">
      <c r="A53" s="31" t="s">
        <v>26</v>
      </c>
      <c r="B53" s="31" t="s">
        <v>9</v>
      </c>
      <c r="C53" s="32">
        <v>2569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</row>
    <row r="54" spans="1:17" s="12" customFormat="1" ht="24.2" customHeight="1" x14ac:dyDescent="0.2">
      <c r="A54" s="31" t="s">
        <v>27</v>
      </c>
      <c r="B54" s="31" t="s">
        <v>9</v>
      </c>
      <c r="C54" s="32">
        <v>2569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</row>
    <row r="55" spans="1:17" s="12" customFormat="1" ht="24.2" customHeight="1" x14ac:dyDescent="0.2">
      <c r="A55" s="35" t="s">
        <v>6</v>
      </c>
      <c r="B55" s="35" t="s">
        <v>9</v>
      </c>
      <c r="C55" s="32">
        <v>2569</v>
      </c>
      <c r="D55" s="33">
        <f>2939+5901</f>
        <v>8840</v>
      </c>
      <c r="E55" s="33">
        <f>1358+3765</f>
        <v>5123</v>
      </c>
      <c r="F55" s="33">
        <f>6154+10248</f>
        <v>16402</v>
      </c>
      <c r="G55" s="33">
        <f>21042+17876</f>
        <v>38918</v>
      </c>
      <c r="H55" s="33">
        <f>1441+5243</f>
        <v>6684</v>
      </c>
      <c r="I55" s="33">
        <f>1536+1845</f>
        <v>3381</v>
      </c>
      <c r="J55" s="33">
        <f>3786+2635</f>
        <v>6421</v>
      </c>
      <c r="K55" s="33">
        <f>1573+2020</f>
        <v>3593</v>
      </c>
      <c r="L55" s="33"/>
      <c r="M55" s="33"/>
      <c r="N55" s="33"/>
      <c r="O55" s="33"/>
    </row>
    <row r="56" spans="1:17" s="12" customFormat="1" ht="24" customHeight="1" x14ac:dyDescent="0.2">
      <c r="A56" s="36" t="s">
        <v>4</v>
      </c>
      <c r="B56" s="36" t="s">
        <v>24</v>
      </c>
      <c r="C56" s="37">
        <v>2569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f>J587</f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</row>
    <row r="57" spans="1:17" s="12" customFormat="1" ht="24.2" customHeight="1" x14ac:dyDescent="0.2">
      <c r="A57" s="39" t="s">
        <v>5</v>
      </c>
      <c r="B57" s="36" t="s">
        <v>24</v>
      </c>
      <c r="C57" s="37">
        <v>2569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</row>
    <row r="58" spans="1:17" s="12" customFormat="1" ht="24.2" customHeight="1" x14ac:dyDescent="0.2">
      <c r="A58" s="40" t="s">
        <v>11</v>
      </c>
      <c r="B58" s="36" t="s">
        <v>24</v>
      </c>
      <c r="C58" s="37">
        <v>2569</v>
      </c>
      <c r="D58" s="38">
        <v>0</v>
      </c>
      <c r="E58" s="38">
        <v>392</v>
      </c>
      <c r="F58" s="38">
        <v>0</v>
      </c>
      <c r="G58" s="38">
        <v>582</v>
      </c>
      <c r="H58" s="38">
        <v>1602</v>
      </c>
      <c r="I58" s="38">
        <v>658</v>
      </c>
      <c r="J58" s="38">
        <v>0</v>
      </c>
      <c r="K58" s="38">
        <v>154</v>
      </c>
      <c r="L58" s="38"/>
      <c r="M58" s="38"/>
      <c r="N58" s="38"/>
      <c r="O58" s="38"/>
    </row>
    <row r="59" spans="1:17" s="12" customFormat="1" ht="24.2" customHeight="1" x14ac:dyDescent="0.2">
      <c r="A59" s="40" t="s">
        <v>7</v>
      </c>
      <c r="B59" s="36" t="s">
        <v>24</v>
      </c>
      <c r="C59" s="37">
        <v>2569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</row>
    <row r="60" spans="1:17" s="12" customFormat="1" ht="24.2" customHeight="1" x14ac:dyDescent="0.2">
      <c r="A60" s="40" t="s">
        <v>13</v>
      </c>
      <c r="B60" s="36" t="s">
        <v>24</v>
      </c>
      <c r="C60" s="37">
        <v>2569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</row>
    <row r="61" spans="1:17" s="12" customFormat="1" ht="24.2" customHeight="1" x14ac:dyDescent="0.2">
      <c r="A61" s="40" t="s">
        <v>14</v>
      </c>
      <c r="B61" s="36" t="s">
        <v>24</v>
      </c>
      <c r="C61" s="37">
        <v>2569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</row>
    <row r="62" spans="1:17" s="12" customFormat="1" ht="24.2" customHeight="1" x14ac:dyDescent="0.2">
      <c r="A62" s="40" t="s">
        <v>26</v>
      </c>
      <c r="B62" s="36" t="s">
        <v>24</v>
      </c>
      <c r="C62" s="37">
        <v>2569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</row>
    <row r="63" spans="1:17" s="12" customFormat="1" ht="24.2" customHeight="1" x14ac:dyDescent="0.2">
      <c r="A63" s="40" t="s">
        <v>27</v>
      </c>
      <c r="B63" s="36" t="s">
        <v>24</v>
      </c>
      <c r="C63" s="37">
        <v>2569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</row>
    <row r="64" spans="1:17" s="12" customFormat="1" ht="24.2" customHeight="1" x14ac:dyDescent="0.2">
      <c r="A64" s="40" t="s">
        <v>6</v>
      </c>
      <c r="B64" s="36" t="s">
        <v>24</v>
      </c>
      <c r="C64" s="37">
        <v>2569</v>
      </c>
      <c r="D64" s="38">
        <v>1075</v>
      </c>
      <c r="E64" s="38">
        <f>794+181</f>
        <v>975</v>
      </c>
      <c r="F64" s="38">
        <f>456+114</f>
        <v>570</v>
      </c>
      <c r="G64" s="38">
        <f>640+221</f>
        <v>861</v>
      </c>
      <c r="H64" s="38">
        <f>437+149</f>
        <v>586</v>
      </c>
      <c r="I64" s="38">
        <f>937+135</f>
        <v>1072</v>
      </c>
      <c r="J64" s="38">
        <f>898+179</f>
        <v>1077</v>
      </c>
      <c r="K64" s="38">
        <f>691+146</f>
        <v>837</v>
      </c>
      <c r="L64" s="38"/>
      <c r="M64" s="38"/>
      <c r="N64" s="38"/>
      <c r="O64" s="38"/>
      <c r="Q64" s="13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1" customWidth="1"/>
    <col min="2" max="2" width="67.33203125" style="1" customWidth="1"/>
    <col min="3" max="16384" width="9.33203125" style="1"/>
  </cols>
  <sheetData>
    <row r="1" spans="1:2" ht="30" customHeight="1" x14ac:dyDescent="0.2">
      <c r="A1" s="4" t="s">
        <v>3</v>
      </c>
      <c r="B1" s="4" t="s">
        <v>15</v>
      </c>
    </row>
    <row r="2" spans="1:2" ht="27" x14ac:dyDescent="0.2">
      <c r="A2" s="2" t="s">
        <v>4</v>
      </c>
      <c r="B2" s="2" t="s">
        <v>17</v>
      </c>
    </row>
    <row r="3" spans="1:2" ht="27" x14ac:dyDescent="0.2">
      <c r="A3" s="2" t="s">
        <v>5</v>
      </c>
      <c r="B3" s="2" t="s">
        <v>18</v>
      </c>
    </row>
    <row r="4" spans="1:2" ht="54" x14ac:dyDescent="0.2">
      <c r="A4" s="2" t="s">
        <v>11</v>
      </c>
      <c r="B4" s="3" t="s">
        <v>19</v>
      </c>
    </row>
    <row r="5" spans="1:2" ht="54" x14ac:dyDescent="0.2">
      <c r="A5" s="2" t="s">
        <v>7</v>
      </c>
      <c r="B5" s="3" t="s">
        <v>28</v>
      </c>
    </row>
    <row r="6" spans="1:2" ht="54" x14ac:dyDescent="0.2">
      <c r="A6" s="2" t="s">
        <v>12</v>
      </c>
      <c r="B6" s="3" t="s">
        <v>16</v>
      </c>
    </row>
    <row r="7" spans="1:2" ht="27" x14ac:dyDescent="0.2">
      <c r="A7" s="2" t="s">
        <v>13</v>
      </c>
      <c r="B7" s="2" t="s">
        <v>20</v>
      </c>
    </row>
    <row r="8" spans="1:2" ht="27" x14ac:dyDescent="0.2">
      <c r="A8" s="2" t="s">
        <v>14</v>
      </c>
      <c r="B8" s="2" t="s">
        <v>21</v>
      </c>
    </row>
    <row r="9" spans="1:2" ht="27" x14ac:dyDescent="0.2">
      <c r="A9" s="2" t="s">
        <v>26</v>
      </c>
      <c r="B9" s="2" t="s">
        <v>17</v>
      </c>
    </row>
    <row r="10" spans="1:2" ht="27" x14ac:dyDescent="0.2">
      <c r="A10" s="2" t="s">
        <v>27</v>
      </c>
      <c r="B10" s="2" t="s">
        <v>18</v>
      </c>
    </row>
    <row r="11" spans="1:2" ht="125.25" customHeight="1" x14ac:dyDescent="0.2">
      <c r="A11" s="2" t="s">
        <v>6</v>
      </c>
      <c r="B11" s="3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zpot81</cp:lastModifiedBy>
  <cp:lastPrinted>2026-03-04T08:37:09Z</cp:lastPrinted>
  <dcterms:created xsi:type="dcterms:W3CDTF">2023-06-27T03:29:47Z</dcterms:created>
  <dcterms:modified xsi:type="dcterms:W3CDTF">2026-06-17T11:09:48Z</dcterms:modified>
</cp:coreProperties>
</file>