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 2568\เดือน9-2568\"/>
    </mc:Choice>
  </mc:AlternateContent>
  <xr:revisionPtr revIDLastSave="0" documentId="13_ncr:1_{103E05BF-B404-4E08-A00D-D7046AE34881}" xr6:coauthVersionLast="47" xr6:coauthVersionMax="47" xr10:uidLastSave="{00000000-0000-0000-0000-000000000000}"/>
  <bookViews>
    <workbookView showHorizontalScroll="0" showVerticalScroll="0" showSheetTabs="0" xWindow="23880" yWindow="1545" windowWidth="29040" windowHeight="157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5" i="1" l="1"/>
  <c r="O51" i="1"/>
  <c r="O48" i="1"/>
  <c r="O47" i="1"/>
  <c r="O10" i="1"/>
  <c r="O2" i="1"/>
  <c r="O19" i="1"/>
  <c r="O16" i="1"/>
  <c r="O15" i="1"/>
  <c r="O12" i="1"/>
  <c r="O11" i="1"/>
  <c r="O46" i="1"/>
  <c r="O42" i="1"/>
  <c r="O39" i="1"/>
  <c r="O38" i="1"/>
  <c r="O28" i="1"/>
  <c r="O21" i="1"/>
  <c r="O20" i="1"/>
  <c r="O37" i="1"/>
  <c r="O34" i="1"/>
  <c r="O33" i="1"/>
  <c r="O30" i="1"/>
  <c r="O29" i="1"/>
  <c r="N46" i="1"/>
  <c r="N43" i="1"/>
  <c r="N42" i="1"/>
  <c r="N39" i="1"/>
  <c r="N38" i="1"/>
  <c r="N37" i="1"/>
  <c r="N34" i="1"/>
  <c r="N33" i="1"/>
  <c r="N30" i="1"/>
  <c r="N29" i="1"/>
  <c r="N28" i="1"/>
  <c r="N21" i="1"/>
  <c r="N20" i="1"/>
  <c r="N19" i="1" l="1"/>
  <c r="N16" i="1"/>
  <c r="N15" i="1"/>
  <c r="N12" i="1"/>
  <c r="N11" i="1"/>
  <c r="N10" i="1"/>
  <c r="N3" i="1"/>
  <c r="N2" i="1"/>
  <c r="N55" i="1"/>
  <c r="N51" i="1"/>
  <c r="N48" i="1"/>
  <c r="N47" i="1"/>
  <c r="M46" i="1"/>
  <c r="M43" i="1"/>
  <c r="M42" i="1"/>
  <c r="M39" i="1"/>
  <c r="M38" i="1"/>
  <c r="M37" i="1"/>
  <c r="M34" i="1"/>
  <c r="M33" i="1"/>
  <c r="M30" i="1"/>
  <c r="M29" i="1"/>
  <c r="M28" i="1"/>
  <c r="M21" i="1"/>
  <c r="M20" i="1"/>
  <c r="M19" i="1"/>
  <c r="M16" i="1"/>
  <c r="M15" i="1"/>
  <c r="M12" i="1"/>
  <c r="M11" i="1"/>
  <c r="M10" i="1"/>
  <c r="M2" i="1"/>
  <c r="M55" i="1"/>
  <c r="M51" i="1"/>
  <c r="M48" i="1"/>
  <c r="M47" i="1"/>
  <c r="L37" i="1"/>
  <c r="L34" i="1"/>
  <c r="L33" i="1"/>
  <c r="L30" i="1"/>
  <c r="L29" i="1"/>
  <c r="L28" i="1"/>
  <c r="L21" i="1"/>
  <c r="L20" i="1"/>
  <c r="L46" i="1"/>
  <c r="L42" i="1"/>
  <c r="L39" i="1"/>
  <c r="L38" i="1"/>
  <c r="L10" i="1"/>
  <c r="L2" i="1"/>
  <c r="L19" i="1"/>
  <c r="L16" i="1"/>
  <c r="L15" i="1"/>
  <c r="L12" i="1"/>
  <c r="L11" i="1"/>
  <c r="L55" i="1"/>
  <c r="L51" i="1"/>
  <c r="L48" i="1"/>
  <c r="L47" i="1"/>
  <c r="K37" i="1"/>
  <c r="K34" i="1"/>
  <c r="K33" i="1"/>
  <c r="K30" i="1"/>
  <c r="K29" i="1"/>
  <c r="K19" i="1"/>
  <c r="K16" i="1"/>
  <c r="K15" i="1"/>
  <c r="K12" i="1"/>
  <c r="K11" i="1"/>
  <c r="K55" i="1"/>
  <c r="K48" i="1"/>
  <c r="K47" i="1"/>
  <c r="K46" i="1"/>
  <c r="K39" i="1"/>
  <c r="K38" i="1"/>
  <c r="K28" i="1"/>
  <c r="K21" i="1"/>
  <c r="K20" i="1"/>
  <c r="K10" i="1"/>
  <c r="K2" i="1"/>
  <c r="J37" i="1"/>
  <c r="J34" i="1"/>
  <c r="J33" i="1"/>
  <c r="J30" i="1"/>
  <c r="J29" i="1"/>
  <c r="J46" i="1"/>
  <c r="J38" i="1"/>
  <c r="J55" i="1"/>
  <c r="J48" i="1"/>
  <c r="J47" i="1"/>
  <c r="J19" i="1"/>
  <c r="J16" i="1"/>
  <c r="J15" i="1"/>
  <c r="J12" i="1"/>
  <c r="J11" i="1"/>
  <c r="J28" i="1"/>
  <c r="J21" i="1"/>
  <c r="J20" i="1"/>
  <c r="J10" i="1"/>
  <c r="J2" i="1"/>
  <c r="I55" i="1"/>
  <c r="I48" i="1"/>
  <c r="I47" i="1"/>
  <c r="I10" i="1"/>
  <c r="I2" i="1"/>
  <c r="I11" i="1"/>
  <c r="I46" i="1"/>
  <c r="I38" i="1"/>
  <c r="I19" i="1"/>
  <c r="I16" i="1"/>
  <c r="I15" i="1"/>
  <c r="I12" i="1"/>
  <c r="I37" i="1"/>
  <c r="I34" i="1"/>
  <c r="I33" i="1"/>
  <c r="I30" i="1"/>
  <c r="I29" i="1"/>
  <c r="I28" i="1"/>
  <c r="I21" i="1"/>
  <c r="I20" i="1"/>
  <c r="H55" i="1"/>
  <c r="H51" i="1"/>
  <c r="H48" i="1"/>
  <c r="H47" i="1"/>
  <c r="H28" i="1"/>
  <c r="H21" i="1"/>
  <c r="H20" i="1"/>
  <c r="H2" i="1"/>
  <c r="H10" i="1"/>
  <c r="H19" i="1"/>
  <c r="H16" i="1"/>
  <c r="H15" i="1"/>
  <c r="H12" i="1"/>
  <c r="H11" i="1"/>
  <c r="H46" i="1"/>
  <c r="H39" i="1"/>
  <c r="H38" i="1"/>
  <c r="H37" i="1"/>
  <c r="H34" i="1"/>
  <c r="H33" i="1"/>
  <c r="H30" i="1"/>
  <c r="H29" i="1"/>
  <c r="G37" i="1"/>
  <c r="G34" i="1"/>
  <c r="G33" i="1"/>
  <c r="G30" i="1"/>
  <c r="G29" i="1"/>
  <c r="G19" i="1"/>
  <c r="G16" i="1"/>
  <c r="G15" i="1"/>
  <c r="G12" i="1"/>
  <c r="G11" i="1"/>
  <c r="G28" i="1"/>
  <c r="G21" i="1"/>
  <c r="G20" i="1"/>
  <c r="G10" i="1"/>
  <c r="G2" i="1"/>
  <c r="G46" i="1"/>
  <c r="G39" i="1"/>
  <c r="G38" i="1"/>
  <c r="G55" i="1"/>
  <c r="G48" i="1"/>
  <c r="G47" i="1"/>
  <c r="F55" i="1"/>
  <c r="F51" i="1"/>
  <c r="F48" i="1"/>
  <c r="F47" i="1"/>
  <c r="F46" i="1"/>
  <c r="F39" i="1"/>
  <c r="F38" i="1"/>
  <c r="F37" i="1"/>
  <c r="F34" i="1"/>
  <c r="F33" i="1"/>
  <c r="F30" i="1"/>
  <c r="F29" i="1"/>
  <c r="F19" i="1"/>
  <c r="F16" i="1"/>
  <c r="F15" i="1"/>
  <c r="F12" i="1"/>
  <c r="F11" i="1"/>
  <c r="F28" i="1"/>
  <c r="F21" i="1"/>
  <c r="F20" i="1"/>
  <c r="F10" i="1"/>
  <c r="F3" i="1"/>
  <c r="F2" i="1"/>
  <c r="E21" i="1"/>
  <c r="E20" i="1"/>
  <c r="E55" i="1"/>
  <c r="E52" i="1"/>
  <c r="E51" i="1"/>
  <c r="E48" i="1"/>
  <c r="E47" i="1"/>
  <c r="E46" i="1"/>
  <c r="E39" i="1"/>
  <c r="E38" i="1"/>
  <c r="E37" i="1"/>
  <c r="E34" i="1"/>
  <c r="E33" i="1"/>
  <c r="E30" i="1"/>
  <c r="E29" i="1"/>
  <c r="E28" i="1"/>
  <c r="E19" i="1"/>
  <c r="E16" i="1"/>
  <c r="E15" i="1"/>
  <c r="E12" i="1"/>
  <c r="E11" i="1"/>
  <c r="E10" i="1"/>
  <c r="E3" i="1"/>
  <c r="E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<sst xmlns="http://schemas.openxmlformats.org/spreadsheetml/2006/main" count="163" uniqueCount="43">
  <si>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</si>
  <si>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</si>
  <si>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</si>
  <si>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</si>
  <si>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</si>
  <si>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</si>
  <si>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</si>
  <si>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</si>
  <si>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</si>
  <si>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</si>
  <si>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</si>
  <si>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</si>
  <si>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</si>
  <si>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</si>
  <si>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</si>
  <si>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</si>
  <si>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</si>
  <si>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</si>
  <si>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</si>
  <si>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</si>
  <si>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</si>
  <si>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</si>
  <si>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</si>
  <si>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</si>
  <si>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</si>
  <si>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</si>
  <si>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</si>
  <si>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</si>
  <si>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</si>
  <si>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</si>
  <si>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</si>
  <si>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67</t>
  </si>
  <si>
    <t>พ.ย. 67</t>
  </si>
  <si>
    <t>ธ.ค. 67</t>
  </si>
  <si>
    <t>ม.ค.68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</si>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</sst>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88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88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88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88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88" fontId="1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88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88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88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45" zoomScale="80" zoomScaleNormal="80" workbookViewId="0">
      <selection activeCell="A65" sqref="A65:XFD67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7" t="s">
        <v>31</v>
      </c>
      <c r="E1" s="27" t="s">
        <v>32</v>
      </c>
      <c r="F1" s="27" t="s">
        <v>33</v>
      </c>
      <c r="G1" s="27" t="s">
        <v>34</v>
      </c>
      <c r="H1" s="27" t="s">
        <v>35</v>
      </c>
      <c r="I1" s="27" t="s">
        <v>36</v>
      </c>
      <c r="J1" s="27" t="s">
        <v>37</v>
      </c>
      <c r="K1" s="27" t="s">
        <v>38</v>
      </c>
      <c r="L1" s="27" t="s">
        <v>39</v>
      </c>
      <c r="M1" s="27" t="s">
        <v>40</v>
      </c>
      <c r="N1" s="27" t="s">
        <v>41</v>
      </c>
      <c r="O1" s="27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2568</v>
      </c>
      <c r="D2" s="12">
        <v>174614</v>
      </c>
      <c r="E2" s="12">
        <f>63995+4708</f>
        <v>68703</v>
      </c>
      <c r="F2" s="12">
        <f>90609+6482</f>
        <v>97091</v>
      </c>
      <c r="G2" s="12">
        <f>67294+1713</f>
        <v>69007</v>
      </c>
      <c r="H2" s="12">
        <f>40982+2907</f>
        <v>43889</v>
      </c>
      <c r="I2" s="12">
        <f>66099+3550</f>
        <v>69649</v>
      </c>
      <c r="J2" s="12">
        <f>89251+4711</f>
        <v>93962</v>
      </c>
      <c r="K2" s="12">
        <f>54440+3978</f>
        <v>58418</v>
      </c>
      <c r="L2" s="12">
        <f>39295+2993</f>
        <v>42288</v>
      </c>
      <c r="M2" s="12">
        <f>48104+3314</f>
        <v>51418</v>
      </c>
      <c r="N2" s="12">
        <f>42779+3047</f>
        <v>45826</v>
      </c>
      <c r="O2" s="12">
        <f>22841+4215</f>
        <v>27056</v>
      </c>
    </row>
    <row r="3" spans="1:15" s="3" customFormat="1" ht="24.2" customHeight="1" x14ac:dyDescent="0.2">
      <c r="A3" s="10" t="s">
        <v>5</v>
      </c>
      <c r="B3" s="10" t="s">
        <v>27</v>
      </c>
      <c r="C3" s="11">
        <v>2568</v>
      </c>
      <c r="D3" s="12">
        <v>64740</v>
      </c>
      <c r="E3" s="12">
        <f>16717</f>
        <v>16717</v>
      </c>
      <c r="F3" s="12">
        <f>20830</f>
        <v>20830</v>
      </c>
      <c r="G3" s="12">
        <v>15101</v>
      </c>
      <c r="H3" s="12">
        <v>9915</v>
      </c>
      <c r="I3" s="12">
        <v>20910</v>
      </c>
      <c r="J3" s="12">
        <v>30226</v>
      </c>
      <c r="K3" s="12">
        <v>15375</v>
      </c>
      <c r="L3" s="12">
        <v>7644</v>
      </c>
      <c r="M3" s="12">
        <v>6467</v>
      </c>
      <c r="N3" s="12">
        <f>9410</f>
        <v>9410</v>
      </c>
      <c r="O3" s="12">
        <v>4639</v>
      </c>
    </row>
    <row r="4" spans="1:15" s="3" customFormat="1" ht="24.6" customHeight="1" x14ac:dyDescent="0.2">
      <c r="A4" s="10" t="s">
        <v>11</v>
      </c>
      <c r="B4" s="10" t="s">
        <v>27</v>
      </c>
      <c r="C4" s="11">
        <v>2568</v>
      </c>
      <c r="D4" s="12">
        <v>4035</v>
      </c>
      <c r="E4" s="12">
        <v>4876</v>
      </c>
      <c r="F4" s="12">
        <v>5894</v>
      </c>
      <c r="G4" s="12">
        <v>11099</v>
      </c>
      <c r="H4" s="12">
        <v>11837</v>
      </c>
      <c r="I4" s="12">
        <v>11486</v>
      </c>
      <c r="J4" s="12">
        <v>962</v>
      </c>
      <c r="K4" s="12">
        <v>1422</v>
      </c>
      <c r="L4" s="12">
        <v>2753</v>
      </c>
      <c r="M4" s="12">
        <v>9835</v>
      </c>
      <c r="N4" s="12">
        <v>19935</v>
      </c>
      <c r="O4" s="12">
        <v>23064</v>
      </c>
    </row>
    <row r="5" spans="1:15" s="3" customFormat="1" ht="24.2" customHeight="1" x14ac:dyDescent="0.2">
      <c r="A5" s="10" t="s">
        <v>7</v>
      </c>
      <c r="B5" s="10" t="s">
        <v>27</v>
      </c>
      <c r="C5" s="11">
        <v>2568</v>
      </c>
      <c r="D5" s="12">
        <v>20060</v>
      </c>
      <c r="E5" s="12">
        <v>21699</v>
      </c>
      <c r="F5" s="12">
        <v>26079</v>
      </c>
      <c r="G5" s="12">
        <v>34682</v>
      </c>
      <c r="H5" s="12">
        <v>28831</v>
      </c>
      <c r="I5" s="12">
        <v>23612</v>
      </c>
      <c r="J5" s="12">
        <v>17061</v>
      </c>
      <c r="K5" s="12">
        <v>11511</v>
      </c>
      <c r="L5" s="12">
        <v>12681</v>
      </c>
      <c r="M5" s="12">
        <v>19769</v>
      </c>
      <c r="N5" s="12">
        <v>20191</v>
      </c>
      <c r="O5" s="12">
        <v>10077</v>
      </c>
    </row>
    <row r="6" spans="1:15" s="3" customFormat="1" ht="24.2" customHeight="1" x14ac:dyDescent="0.2">
      <c r="A6" s="13" t="s">
        <v>24</v>
      </c>
      <c r="B6" s="10" t="s">
        <v>27</v>
      </c>
      <c r="C6" s="11">
        <v>2568</v>
      </c>
      <c r="D6" s="12">
        <v>4584</v>
      </c>
      <c r="E6" s="12">
        <v>4963</v>
      </c>
      <c r="F6" s="12">
        <v>6499</v>
      </c>
      <c r="G6" s="12">
        <v>6757</v>
      </c>
      <c r="H6" s="12">
        <v>4337</v>
      </c>
      <c r="I6" s="12">
        <v>3364</v>
      </c>
      <c r="J6" s="12">
        <v>3057</v>
      </c>
      <c r="K6" s="12">
        <v>2020</v>
      </c>
      <c r="L6" s="12">
        <v>2191</v>
      </c>
      <c r="M6" s="12">
        <v>3168</v>
      </c>
      <c r="N6" s="12">
        <v>2823</v>
      </c>
      <c r="O6" s="12">
        <v>1408</v>
      </c>
    </row>
    <row r="7" spans="1:15" s="3" customFormat="1" ht="24.2" customHeight="1" x14ac:dyDescent="0.2">
      <c r="A7" s="13" t="s">
        <v>25</v>
      </c>
      <c r="B7" s="10" t="s">
        <v>27</v>
      </c>
      <c r="C7" s="11">
        <v>2568</v>
      </c>
      <c r="D7" s="12">
        <v>715</v>
      </c>
      <c r="E7" s="12">
        <v>455</v>
      </c>
      <c r="F7" s="12">
        <v>914</v>
      </c>
      <c r="G7" s="12">
        <v>1140</v>
      </c>
      <c r="H7" s="12">
        <v>696</v>
      </c>
      <c r="I7" s="12">
        <v>475</v>
      </c>
      <c r="J7" s="12">
        <v>466</v>
      </c>
      <c r="K7" s="12">
        <v>289</v>
      </c>
      <c r="L7" s="12">
        <v>391</v>
      </c>
      <c r="M7" s="12">
        <v>607</v>
      </c>
      <c r="N7" s="12">
        <v>603</v>
      </c>
      <c r="O7" s="12">
        <v>212</v>
      </c>
    </row>
    <row r="8" spans="1:15" s="3" customFormat="1" ht="24.6" customHeight="1" x14ac:dyDescent="0.2">
      <c r="A8" s="10" t="s">
        <v>28</v>
      </c>
      <c r="B8" s="10" t="s">
        <v>27</v>
      </c>
      <c r="C8" s="11">
        <v>2568</v>
      </c>
      <c r="D8" s="12">
        <v>418</v>
      </c>
      <c r="E8" s="12">
        <v>202</v>
      </c>
      <c r="F8" s="12">
        <v>252</v>
      </c>
      <c r="G8" s="12">
        <v>87</v>
      </c>
      <c r="H8" s="12">
        <v>266</v>
      </c>
      <c r="I8" s="12">
        <v>39</v>
      </c>
      <c r="J8" s="12">
        <v>134</v>
      </c>
      <c r="K8" s="12">
        <v>120</v>
      </c>
      <c r="L8" s="12">
        <v>36</v>
      </c>
      <c r="M8" s="12">
        <v>214</v>
      </c>
      <c r="N8" s="12">
        <v>251</v>
      </c>
      <c r="O8" s="12">
        <v>213</v>
      </c>
    </row>
    <row r="9" spans="1:15" s="3" customFormat="1" ht="24.2" customHeight="1" x14ac:dyDescent="0.2">
      <c r="A9" s="10" t="s">
        <v>29</v>
      </c>
      <c r="B9" s="10" t="s">
        <v>27</v>
      </c>
      <c r="C9" s="11">
        <v>2568</v>
      </c>
      <c r="D9" s="12">
        <v>168</v>
      </c>
      <c r="E9" s="12">
        <v>61</v>
      </c>
      <c r="F9" s="12">
        <v>80</v>
      </c>
      <c r="G9" s="12">
        <v>25</v>
      </c>
      <c r="H9" s="12">
        <v>64</v>
      </c>
      <c r="I9" s="12">
        <v>26</v>
      </c>
      <c r="J9" s="12">
        <v>73</v>
      </c>
      <c r="K9" s="12">
        <v>25</v>
      </c>
      <c r="L9" s="12">
        <v>7</v>
      </c>
      <c r="M9" s="12">
        <v>66</v>
      </c>
      <c r="N9" s="12">
        <v>87</v>
      </c>
      <c r="O9" s="12">
        <v>88</v>
      </c>
    </row>
    <row r="10" spans="1:15" s="3" customFormat="1" ht="24.2" customHeight="1" x14ac:dyDescent="0.2">
      <c r="A10" s="10" t="s">
        <v>6</v>
      </c>
      <c r="B10" s="10" t="s">
        <v>27</v>
      </c>
      <c r="C10" s="11">
        <v>2568</v>
      </c>
      <c r="D10" s="12">
        <v>29700</v>
      </c>
      <c r="E10" s="12">
        <f>11539+3975</f>
        <v>15514</v>
      </c>
      <c r="F10" s="12">
        <f>15840+4815</f>
        <v>20655</v>
      </c>
      <c r="G10" s="12">
        <f>12017+7853</f>
        <v>19870</v>
      </c>
      <c r="H10" s="12">
        <f>9396+3661</f>
        <v>13057</v>
      </c>
      <c r="I10" s="12">
        <f>14707+5079</f>
        <v>19786</v>
      </c>
      <c r="J10" s="12">
        <f>16708+6645</f>
        <v>23353</v>
      </c>
      <c r="K10" s="12">
        <f>9540+4624</f>
        <v>14164</v>
      </c>
      <c r="L10" s="12">
        <f>7629+4048</f>
        <v>11677</v>
      </c>
      <c r="M10" s="12">
        <f>9602+12344</f>
        <v>21946</v>
      </c>
      <c r="N10" s="12">
        <f>9327+6552</f>
        <v>15879</v>
      </c>
      <c r="O10" s="12">
        <f>5393+2795</f>
        <v>8188</v>
      </c>
    </row>
    <row r="11" spans="1:15" s="3" customFormat="1" ht="24.2" customHeight="1" x14ac:dyDescent="0.2">
      <c r="A11" s="14" t="s">
        <v>4</v>
      </c>
      <c r="B11" s="14" t="s">
        <v>1</v>
      </c>
      <c r="C11" s="15">
        <v>2568</v>
      </c>
      <c r="D11" s="16">
        <v>27509</v>
      </c>
      <c r="E11" s="16">
        <f>9765+5799</f>
        <v>15564</v>
      </c>
      <c r="F11" s="16">
        <f>23194+11214</f>
        <v>34408</v>
      </c>
      <c r="G11" s="16">
        <f>21087+7403</f>
        <v>28490</v>
      </c>
      <c r="H11" s="16">
        <f>9490+5568</f>
        <v>15058</v>
      </c>
      <c r="I11" s="16">
        <f>9662+7925</f>
        <v>17587</v>
      </c>
      <c r="J11" s="16">
        <f>10969+11414</f>
        <v>22383</v>
      </c>
      <c r="K11" s="16">
        <f>9097+7815</f>
        <v>16912</v>
      </c>
      <c r="L11" s="16">
        <f>8288+7070</f>
        <v>15358</v>
      </c>
      <c r="M11" s="16">
        <f>3595+13019</f>
        <v>16614</v>
      </c>
      <c r="N11" s="16">
        <f>10482+8093</f>
        <v>18575</v>
      </c>
      <c r="O11" s="16">
        <f>4952+5599</f>
        <v>10551</v>
      </c>
    </row>
    <row r="12" spans="1:15" s="3" customFormat="1" ht="24.2" customHeight="1" x14ac:dyDescent="0.2">
      <c r="A12" s="14" t="s">
        <v>5</v>
      </c>
      <c r="B12" s="14" t="s">
        <v>1</v>
      </c>
      <c r="C12" s="15">
        <v>2568</v>
      </c>
      <c r="D12" s="16">
        <v>8328</v>
      </c>
      <c r="E12" s="16">
        <f>2370+1506</f>
        <v>3876</v>
      </c>
      <c r="F12" s="16">
        <f>4247+2469</f>
        <v>6716</v>
      </c>
      <c r="G12" s="16">
        <f>3592+2688</f>
        <v>6280</v>
      </c>
      <c r="H12" s="16">
        <f>2376+1359</f>
        <v>3735</v>
      </c>
      <c r="I12" s="16">
        <f>2248+2605</f>
        <v>4853</v>
      </c>
      <c r="J12" s="16">
        <f>3289+4350</f>
        <v>7639</v>
      </c>
      <c r="K12" s="16">
        <f>2326+2554</f>
        <v>4880</v>
      </c>
      <c r="L12" s="16">
        <f>1627+1705</f>
        <v>3332</v>
      </c>
      <c r="M12" s="16">
        <f>781+3546</f>
        <v>4327</v>
      </c>
      <c r="N12" s="16">
        <f>2037+2218</f>
        <v>4255</v>
      </c>
      <c r="O12" s="16">
        <f>969+1353</f>
        <v>2322</v>
      </c>
    </row>
    <row r="13" spans="1:15" s="3" customFormat="1" ht="24.6" customHeight="1" x14ac:dyDescent="0.2">
      <c r="A13" s="14" t="s">
        <v>11</v>
      </c>
      <c r="B13" s="14" t="s">
        <v>1</v>
      </c>
      <c r="C13" s="15">
        <v>2568</v>
      </c>
      <c r="D13" s="16">
        <v>1031</v>
      </c>
      <c r="E13" s="16">
        <v>1488</v>
      </c>
      <c r="F13" s="16">
        <v>3056</v>
      </c>
      <c r="G13" s="16">
        <v>4689</v>
      </c>
      <c r="H13" s="16">
        <v>7187</v>
      </c>
      <c r="I13" s="16">
        <v>4488</v>
      </c>
      <c r="J13" s="16">
        <v>901</v>
      </c>
      <c r="K13" s="16">
        <v>306</v>
      </c>
      <c r="L13" s="16">
        <v>468</v>
      </c>
      <c r="M13" s="16">
        <v>2712</v>
      </c>
      <c r="N13" s="16">
        <v>6668</v>
      </c>
      <c r="O13" s="16">
        <v>7036</v>
      </c>
    </row>
    <row r="14" spans="1:15" s="3" customFormat="1" ht="24.2" customHeight="1" x14ac:dyDescent="0.2">
      <c r="A14" s="14" t="s">
        <v>7</v>
      </c>
      <c r="B14" s="14" t="s">
        <v>1</v>
      </c>
      <c r="C14" s="15">
        <v>2568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2568</v>
      </c>
      <c r="D15" s="16">
        <v>2282</v>
      </c>
      <c r="E15" s="16">
        <f>3203+323</f>
        <v>3526</v>
      </c>
      <c r="F15" s="16">
        <f>4604+669</f>
        <v>5273</v>
      </c>
      <c r="G15" s="16">
        <f>5320+559</f>
        <v>5879</v>
      </c>
      <c r="H15" s="16">
        <f>3811+406</f>
        <v>4217</v>
      </c>
      <c r="I15" s="16">
        <f>2163+338</f>
        <v>2501</v>
      </c>
      <c r="J15" s="16">
        <f>2097+526</f>
        <v>2623</v>
      </c>
      <c r="K15" s="16">
        <f>1695+416</f>
        <v>2111</v>
      </c>
      <c r="L15" s="16">
        <f>1643+536</f>
        <v>2179</v>
      </c>
      <c r="M15" s="16">
        <f>2212+637</f>
        <v>2849</v>
      </c>
      <c r="N15" s="16">
        <f>1788+561</f>
        <v>2349</v>
      </c>
      <c r="O15" s="16">
        <f>1173+308</f>
        <v>1481</v>
      </c>
    </row>
    <row r="16" spans="1:15" s="3" customFormat="1" ht="24.2" customHeight="1" x14ac:dyDescent="0.2">
      <c r="A16" s="17" t="s">
        <v>25</v>
      </c>
      <c r="B16" s="14" t="s">
        <v>1</v>
      </c>
      <c r="C16" s="15">
        <v>2568</v>
      </c>
      <c r="D16" s="16">
        <v>380</v>
      </c>
      <c r="E16" s="16">
        <f>281+87</f>
        <v>368</v>
      </c>
      <c r="F16" s="16">
        <f>667+206</f>
        <v>873</v>
      </c>
      <c r="G16" s="16">
        <f>946+263</f>
        <v>1209</v>
      </c>
      <c r="H16" s="16">
        <f>658+177</f>
        <v>835</v>
      </c>
      <c r="I16" s="16">
        <f>201+92</f>
        <v>293</v>
      </c>
      <c r="J16" s="16">
        <f>303+165</f>
        <v>468</v>
      </c>
      <c r="K16" s="16">
        <f>157+146</f>
        <v>303</v>
      </c>
      <c r="L16" s="16">
        <f>220+147</f>
        <v>367</v>
      </c>
      <c r="M16" s="16">
        <f>521+295</f>
        <v>816</v>
      </c>
      <c r="N16" s="16">
        <f>361+210</f>
        <v>571</v>
      </c>
      <c r="O16" s="16">
        <f>126+70</f>
        <v>196</v>
      </c>
    </row>
    <row r="17" spans="1:15" s="3" customFormat="1" ht="24.6" customHeight="1" x14ac:dyDescent="0.2">
      <c r="A17" s="14" t="s">
        <v>28</v>
      </c>
      <c r="B17" s="14" t="s">
        <v>1</v>
      </c>
      <c r="C17" s="15">
        <v>2568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2568</v>
      </c>
      <c r="D19" s="16">
        <v>9098</v>
      </c>
      <c r="E19" s="16">
        <f>1963+1949</f>
        <v>3912</v>
      </c>
      <c r="F19" s="16">
        <f>4501+8114</f>
        <v>12615</v>
      </c>
      <c r="G19" s="16">
        <f>4512+8957</f>
        <v>13469</v>
      </c>
      <c r="H19" s="16">
        <f>3165+3314</f>
        <v>6479</v>
      </c>
      <c r="I19" s="16">
        <f>2158+1886</f>
        <v>4044</v>
      </c>
      <c r="J19" s="16">
        <f>2903+2280</f>
        <v>5183</v>
      </c>
      <c r="K19" s="16">
        <f>1991+2071</f>
        <v>4062</v>
      </c>
      <c r="L19" s="16">
        <f>1790+2935</f>
        <v>4725</v>
      </c>
      <c r="M19" s="16">
        <f>2119+2928</f>
        <v>5047</v>
      </c>
      <c r="N19" s="16">
        <f>2947+4106</f>
        <v>7053</v>
      </c>
      <c r="O19" s="16">
        <f>1575+1421</f>
        <v>2996</v>
      </c>
    </row>
    <row r="20" spans="1:15" s="3" customFormat="1" ht="24.2" customHeight="1" x14ac:dyDescent="0.2">
      <c r="A20" s="31" t="s">
        <v>4</v>
      </c>
      <c r="B20" s="31" t="s">
        <v>2</v>
      </c>
      <c r="C20" s="32">
        <v>2568</v>
      </c>
      <c r="D20" s="33">
        <v>47566</v>
      </c>
      <c r="E20" s="33">
        <f>16374+1707</f>
        <v>18081</v>
      </c>
      <c r="F20" s="33">
        <f>31996+3370</f>
        <v>35366</v>
      </c>
      <c r="G20" s="33">
        <f>32367+2790</f>
        <v>35157</v>
      </c>
      <c r="H20" s="33">
        <f>16475+5747</f>
        <v>22222</v>
      </c>
      <c r="I20" s="33">
        <f>22503+7145</f>
        <v>29648</v>
      </c>
      <c r="J20" s="33">
        <f>35242+2169</f>
        <v>37411</v>
      </c>
      <c r="K20" s="33">
        <f>21296+3662</f>
        <v>24958</v>
      </c>
      <c r="L20" s="33">
        <f>17374+12096</f>
        <v>29470</v>
      </c>
      <c r="M20" s="33">
        <f>9833+19780</f>
        <v>29613</v>
      </c>
      <c r="N20" s="33">
        <f>27893+10336</f>
        <v>38229</v>
      </c>
      <c r="O20" s="33">
        <f>12594+7753</f>
        <v>20347</v>
      </c>
    </row>
    <row r="21" spans="1:15" s="3" customFormat="1" ht="24.2" customHeight="1" x14ac:dyDescent="0.2">
      <c r="A21" s="31" t="s">
        <v>5</v>
      </c>
      <c r="B21" s="31" t="s">
        <v>2</v>
      </c>
      <c r="C21" s="32">
        <v>2568</v>
      </c>
      <c r="D21" s="33">
        <v>18447</v>
      </c>
      <c r="E21" s="33">
        <f>6377+30</f>
        <v>6407</v>
      </c>
      <c r="F21" s="33">
        <f>7843+5</f>
        <v>7848</v>
      </c>
      <c r="G21" s="33">
        <f>8547+12</f>
        <v>8559</v>
      </c>
      <c r="H21" s="33">
        <f>8358+22</f>
        <v>8380</v>
      </c>
      <c r="I21" s="33">
        <f>12991+21</f>
        <v>13012</v>
      </c>
      <c r="J21" s="33">
        <f>16898+59</f>
        <v>16957</v>
      </c>
      <c r="K21" s="33">
        <f>10581+38</f>
        <v>10619</v>
      </c>
      <c r="L21" s="33">
        <f>7200+18</f>
        <v>7218</v>
      </c>
      <c r="M21" s="33">
        <f>10900+38</f>
        <v>10938</v>
      </c>
      <c r="N21" s="33">
        <f>13263+60</f>
        <v>13323</v>
      </c>
      <c r="O21" s="33">
        <f>6936+180</f>
        <v>7116</v>
      </c>
    </row>
    <row r="22" spans="1:15" s="3" customFormat="1" ht="24.6" customHeight="1" x14ac:dyDescent="0.2">
      <c r="A22" s="31" t="s">
        <v>11</v>
      </c>
      <c r="B22" s="31" t="s">
        <v>2</v>
      </c>
      <c r="C22" s="32">
        <v>2568</v>
      </c>
      <c r="D22" s="33">
        <v>1873</v>
      </c>
      <c r="E22" s="33">
        <v>2896</v>
      </c>
      <c r="F22" s="33">
        <v>10208</v>
      </c>
      <c r="G22" s="33">
        <v>16909</v>
      </c>
      <c r="H22" s="33">
        <v>28879</v>
      </c>
      <c r="I22" s="33">
        <v>26813</v>
      </c>
      <c r="J22" s="33">
        <v>1083</v>
      </c>
      <c r="K22" s="33">
        <v>544</v>
      </c>
      <c r="L22" s="33">
        <v>2582</v>
      </c>
      <c r="M22" s="33">
        <v>6870</v>
      </c>
      <c r="N22" s="33">
        <v>25675</v>
      </c>
      <c r="O22" s="33">
        <v>26969</v>
      </c>
    </row>
    <row r="23" spans="1:15" s="3" customFormat="1" ht="24.2" customHeight="1" x14ac:dyDescent="0.2">
      <c r="A23" s="31" t="s">
        <v>7</v>
      </c>
      <c r="B23" s="31" t="s">
        <v>2</v>
      </c>
      <c r="C23" s="32">
        <v>2568</v>
      </c>
      <c r="D23" s="33">
        <v>0</v>
      </c>
      <c r="E23" s="33">
        <v>0</v>
      </c>
      <c r="F23" s="33">
        <v>24</v>
      </c>
      <c r="G23" s="33">
        <v>0</v>
      </c>
      <c r="H23" s="33">
        <v>0</v>
      </c>
      <c r="I23" s="33">
        <v>14</v>
      </c>
      <c r="J23" s="33">
        <v>29</v>
      </c>
      <c r="K23" s="33">
        <v>0</v>
      </c>
      <c r="L23" s="33">
        <v>238</v>
      </c>
      <c r="M23" s="33">
        <v>0</v>
      </c>
      <c r="N23" s="33">
        <v>50</v>
      </c>
      <c r="O23" s="33">
        <v>30</v>
      </c>
    </row>
    <row r="24" spans="1:15" s="3" customFormat="1" ht="24.2" customHeight="1" x14ac:dyDescent="0.2">
      <c r="A24" s="34" t="s">
        <v>24</v>
      </c>
      <c r="B24" s="31" t="s">
        <v>2</v>
      </c>
      <c r="C24" s="32">
        <v>2568</v>
      </c>
      <c r="D24" s="33">
        <v>430</v>
      </c>
      <c r="E24" s="33">
        <v>290</v>
      </c>
      <c r="F24" s="33">
        <v>546</v>
      </c>
      <c r="G24" s="33">
        <v>613</v>
      </c>
      <c r="H24" s="33">
        <v>377</v>
      </c>
      <c r="I24" s="33">
        <v>280</v>
      </c>
      <c r="J24" s="33">
        <v>402</v>
      </c>
      <c r="K24" s="33">
        <v>220</v>
      </c>
      <c r="L24" s="33">
        <v>246</v>
      </c>
      <c r="M24" s="33">
        <v>431</v>
      </c>
      <c r="N24" s="33">
        <v>349</v>
      </c>
      <c r="O24" s="33">
        <v>194</v>
      </c>
    </row>
    <row r="25" spans="1:15" s="3" customFormat="1" ht="24.2" customHeight="1" x14ac:dyDescent="0.2">
      <c r="A25" s="34" t="s">
        <v>25</v>
      </c>
      <c r="B25" s="31" t="s">
        <v>2</v>
      </c>
      <c r="C25" s="32">
        <v>2568</v>
      </c>
      <c r="D25" s="33">
        <v>43</v>
      </c>
      <c r="E25" s="33">
        <v>16</v>
      </c>
      <c r="F25" s="33">
        <v>45</v>
      </c>
      <c r="G25" s="33">
        <v>71</v>
      </c>
      <c r="H25" s="33">
        <v>36</v>
      </c>
      <c r="I25" s="33">
        <v>12</v>
      </c>
      <c r="J25" s="33">
        <v>22</v>
      </c>
      <c r="K25" s="33">
        <v>18</v>
      </c>
      <c r="L25" s="33">
        <v>15</v>
      </c>
      <c r="M25" s="33">
        <v>38</v>
      </c>
      <c r="N25" s="33">
        <v>41</v>
      </c>
      <c r="O25" s="33">
        <v>12</v>
      </c>
    </row>
    <row r="26" spans="1:15" s="3" customFormat="1" ht="24.6" customHeight="1" x14ac:dyDescent="0.2">
      <c r="A26" s="31" t="s">
        <v>28</v>
      </c>
      <c r="B26" s="31" t="s">
        <v>2</v>
      </c>
      <c r="C26" s="32">
        <v>2568</v>
      </c>
      <c r="D26" s="33">
        <v>0</v>
      </c>
      <c r="E26" s="33">
        <v>50</v>
      </c>
      <c r="F26" s="33">
        <v>19</v>
      </c>
      <c r="G26" s="33">
        <v>8</v>
      </c>
      <c r="H26" s="33">
        <v>0</v>
      </c>
      <c r="I26" s="33">
        <v>27</v>
      </c>
      <c r="J26" s="33">
        <v>10</v>
      </c>
      <c r="K26" s="33">
        <v>0</v>
      </c>
      <c r="L26" s="33">
        <v>2</v>
      </c>
      <c r="M26" s="33">
        <v>3</v>
      </c>
      <c r="N26" s="33"/>
      <c r="O26" s="33">
        <v>0</v>
      </c>
    </row>
    <row r="27" spans="1:15" s="3" customFormat="1" ht="24.2" customHeight="1" x14ac:dyDescent="0.2">
      <c r="A27" s="31" t="s">
        <v>29</v>
      </c>
      <c r="B27" s="31" t="s">
        <v>2</v>
      </c>
      <c r="C27" s="32">
        <v>2568</v>
      </c>
      <c r="D27" s="33">
        <v>0</v>
      </c>
      <c r="E27" s="33">
        <v>19</v>
      </c>
      <c r="F27" s="33">
        <v>61</v>
      </c>
      <c r="G27" s="33">
        <v>106</v>
      </c>
      <c r="H27" s="33">
        <v>0</v>
      </c>
      <c r="I27" s="33">
        <v>30</v>
      </c>
      <c r="J27" s="33">
        <v>3</v>
      </c>
      <c r="K27" s="33">
        <v>0</v>
      </c>
      <c r="L27" s="33">
        <v>66</v>
      </c>
      <c r="M27" s="33">
        <v>48</v>
      </c>
      <c r="N27" s="33">
        <v>0</v>
      </c>
      <c r="O27" s="33">
        <v>0</v>
      </c>
    </row>
    <row r="28" spans="1:15" s="3" customFormat="1" ht="24.2" customHeight="1" x14ac:dyDescent="0.2">
      <c r="A28" s="31" t="s">
        <v>6</v>
      </c>
      <c r="B28" s="31" t="s">
        <v>2</v>
      </c>
      <c r="C28" s="32">
        <v>2568</v>
      </c>
      <c r="D28" s="33">
        <v>14952</v>
      </c>
      <c r="E28" s="33">
        <f>3337+3377</f>
        <v>6714</v>
      </c>
      <c r="F28" s="33">
        <f>5836+10722</f>
        <v>16558</v>
      </c>
      <c r="G28" s="33">
        <f>8576+11944</f>
        <v>20520</v>
      </c>
      <c r="H28" s="33">
        <f>6232+3348</f>
        <v>9580</v>
      </c>
      <c r="I28" s="33">
        <f>4206+5063</f>
        <v>9269</v>
      </c>
      <c r="J28" s="33">
        <f>5932+5235</f>
        <v>11167</v>
      </c>
      <c r="K28" s="33">
        <f>3716+3923</f>
        <v>7639</v>
      </c>
      <c r="L28" s="33">
        <f>3421+9875</f>
        <v>13296</v>
      </c>
      <c r="M28" s="33">
        <f>4299+6269</f>
        <v>10568</v>
      </c>
      <c r="N28" s="33">
        <f>4469+8022</f>
        <v>12491</v>
      </c>
      <c r="O28" s="33">
        <f>2394+2931</f>
        <v>5325</v>
      </c>
    </row>
    <row r="29" spans="1:15" s="3" customFormat="1" ht="24.2" customHeight="1" x14ac:dyDescent="0.2">
      <c r="A29" s="18" t="s">
        <v>4</v>
      </c>
      <c r="B29" s="18" t="s">
        <v>10</v>
      </c>
      <c r="C29" s="19">
        <v>2568</v>
      </c>
      <c r="D29" s="20">
        <v>19862</v>
      </c>
      <c r="E29" s="20">
        <f>4670+891</f>
        <v>5561</v>
      </c>
      <c r="F29" s="20">
        <f>6566+1773</f>
        <v>8339</v>
      </c>
      <c r="G29" s="20">
        <f>14401+752</f>
        <v>15153</v>
      </c>
      <c r="H29" s="20">
        <f>9080+588</f>
        <v>9668</v>
      </c>
      <c r="I29" s="20">
        <f>6021+406</f>
        <v>6427</v>
      </c>
      <c r="J29" s="20">
        <f>13036+1222</f>
        <v>14258</v>
      </c>
      <c r="K29" s="20">
        <f>6542+747</f>
        <v>7289</v>
      </c>
      <c r="L29" s="20">
        <f>6863+706</f>
        <v>7569</v>
      </c>
      <c r="M29" s="20">
        <f>7583+587</f>
        <v>8170</v>
      </c>
      <c r="N29" s="20">
        <f>11510+727</f>
        <v>12237</v>
      </c>
      <c r="O29" s="20">
        <f>8646+419</f>
        <v>9065</v>
      </c>
    </row>
    <row r="30" spans="1:15" s="3" customFormat="1" ht="24.2" customHeight="1" x14ac:dyDescent="0.2">
      <c r="A30" s="18" t="s">
        <v>5</v>
      </c>
      <c r="B30" s="18" t="s">
        <v>10</v>
      </c>
      <c r="C30" s="19">
        <v>2568</v>
      </c>
      <c r="D30" s="20">
        <v>7981</v>
      </c>
      <c r="E30" s="20">
        <f>2043+36</f>
        <v>2079</v>
      </c>
      <c r="F30" s="20">
        <f>1575+53</f>
        <v>1628</v>
      </c>
      <c r="G30" s="20">
        <f>2760+37</f>
        <v>2797</v>
      </c>
      <c r="H30" s="20">
        <f>2416+22</f>
        <v>2438</v>
      </c>
      <c r="I30" s="20">
        <f>2213+16</f>
        <v>2229</v>
      </c>
      <c r="J30" s="20">
        <f>6109+38</f>
        <v>6147</v>
      </c>
      <c r="K30" s="20">
        <f>3051+37</f>
        <v>3088</v>
      </c>
      <c r="L30" s="20">
        <f>2446+25</f>
        <v>2471</v>
      </c>
      <c r="M30" s="20">
        <f>2144+23</f>
        <v>2167</v>
      </c>
      <c r="N30" s="20">
        <f>2584+36</f>
        <v>2620</v>
      </c>
      <c r="O30" s="20">
        <f>1594+45</f>
        <v>1639</v>
      </c>
    </row>
    <row r="31" spans="1:15" s="3" customFormat="1" ht="24.6" customHeight="1" x14ac:dyDescent="0.2">
      <c r="A31" s="18" t="s">
        <v>11</v>
      </c>
      <c r="B31" s="18" t="s">
        <v>10</v>
      </c>
      <c r="C31" s="19">
        <v>2568</v>
      </c>
      <c r="D31" s="20">
        <v>730</v>
      </c>
      <c r="E31" s="20">
        <v>209</v>
      </c>
      <c r="F31" s="20">
        <v>864</v>
      </c>
      <c r="G31" s="20">
        <v>3041</v>
      </c>
      <c r="H31" s="20">
        <v>7256</v>
      </c>
      <c r="I31" s="20">
        <v>2638</v>
      </c>
      <c r="J31" s="20">
        <v>457</v>
      </c>
      <c r="K31" s="20">
        <v>113</v>
      </c>
      <c r="L31" s="20">
        <v>1028</v>
      </c>
      <c r="M31" s="20">
        <v>3267</v>
      </c>
      <c r="N31" s="20">
        <v>10521</v>
      </c>
      <c r="O31" s="20">
        <v>12215</v>
      </c>
    </row>
    <row r="32" spans="1:15" s="3" customFormat="1" ht="24.2" customHeight="1" x14ac:dyDescent="0.2">
      <c r="A32" s="18" t="s">
        <v>7</v>
      </c>
      <c r="B32" s="18" t="s">
        <v>10</v>
      </c>
      <c r="C32" s="19">
        <v>2568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2568</v>
      </c>
      <c r="D33" s="20">
        <v>1884</v>
      </c>
      <c r="E33" s="20">
        <f>1479+408</f>
        <v>1887</v>
      </c>
      <c r="F33" s="20">
        <f>2755+814</f>
        <v>3569</v>
      </c>
      <c r="G33" s="20">
        <f>2626+636</f>
        <v>3262</v>
      </c>
      <c r="H33" s="20">
        <f>2628+645</f>
        <v>3273</v>
      </c>
      <c r="I33" s="20">
        <f>873+187</f>
        <v>1060</v>
      </c>
      <c r="J33" s="20">
        <f>1353+214</f>
        <v>1567</v>
      </c>
      <c r="K33" s="20">
        <f>1422+384</f>
        <v>1806</v>
      </c>
      <c r="L33" s="20">
        <f>2027+503</f>
        <v>2530</v>
      </c>
      <c r="M33" s="20">
        <f>1118+259</f>
        <v>1377</v>
      </c>
      <c r="N33" s="20">
        <f>1074+243</f>
        <v>1317</v>
      </c>
      <c r="O33" s="20">
        <f>2355+541</f>
        <v>2896</v>
      </c>
    </row>
    <row r="34" spans="1:15" s="3" customFormat="1" ht="24.2" customHeight="1" x14ac:dyDescent="0.2">
      <c r="A34" s="21" t="s">
        <v>25</v>
      </c>
      <c r="B34" s="18" t="s">
        <v>10</v>
      </c>
      <c r="C34" s="19">
        <v>2568</v>
      </c>
      <c r="D34" s="20">
        <v>826</v>
      </c>
      <c r="E34" s="20">
        <f>570+159</f>
        <v>729</v>
      </c>
      <c r="F34" s="20">
        <f>1247+304</f>
        <v>1551</v>
      </c>
      <c r="G34" s="20">
        <f>1215+196</f>
        <v>1411</v>
      </c>
      <c r="H34" s="20">
        <f>1296+229</f>
        <v>1525</v>
      </c>
      <c r="I34" s="20">
        <f>332+57</f>
        <v>389</v>
      </c>
      <c r="J34" s="20">
        <f>519+85</f>
        <v>604</v>
      </c>
      <c r="K34" s="20">
        <f>577+149</f>
        <v>726</v>
      </c>
      <c r="L34" s="20">
        <f>909+165</f>
        <v>1074</v>
      </c>
      <c r="M34" s="20">
        <f>406+63</f>
        <v>469</v>
      </c>
      <c r="N34" s="20">
        <f>416+58</f>
        <v>474</v>
      </c>
      <c r="O34" s="20">
        <f>1142+184</f>
        <v>1326</v>
      </c>
    </row>
    <row r="35" spans="1:15" s="3" customFormat="1" ht="24.6" customHeight="1" x14ac:dyDescent="0.2">
      <c r="A35" s="18" t="s">
        <v>28</v>
      </c>
      <c r="B35" s="18" t="s">
        <v>10</v>
      </c>
      <c r="C35" s="19">
        <v>2568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2568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2568</v>
      </c>
      <c r="D37" s="20">
        <v>7637</v>
      </c>
      <c r="E37" s="20">
        <f>755+1384</f>
        <v>2139</v>
      </c>
      <c r="F37" s="20">
        <f>1107+3477</f>
        <v>4584</v>
      </c>
      <c r="G37" s="20">
        <f>1597+7032</f>
        <v>8629</v>
      </c>
      <c r="H37" s="20">
        <f>909+1783</f>
        <v>2692</v>
      </c>
      <c r="I37" s="20">
        <f>716+1119</f>
        <v>1835</v>
      </c>
      <c r="J37" s="20">
        <f>1898+2632</f>
        <v>4530</v>
      </c>
      <c r="K37" s="20">
        <f>864+1560</f>
        <v>2424</v>
      </c>
      <c r="L37" s="20">
        <f>781+2206</f>
        <v>2987</v>
      </c>
      <c r="M37" s="20">
        <f>816+2030</f>
        <v>2846</v>
      </c>
      <c r="N37" s="20">
        <f>1052+2937</f>
        <v>3989</v>
      </c>
      <c r="O37" s="20">
        <f>622+1222</f>
        <v>1844</v>
      </c>
    </row>
    <row r="38" spans="1:15" s="3" customFormat="1" ht="24.2" customHeight="1" x14ac:dyDescent="0.2">
      <c r="A38" s="22" t="s">
        <v>4</v>
      </c>
      <c r="B38" s="22" t="s">
        <v>8</v>
      </c>
      <c r="C38" s="23">
        <v>2568</v>
      </c>
      <c r="D38" s="24">
        <v>30907</v>
      </c>
      <c r="E38" s="24">
        <f>9395+2327</f>
        <v>11722</v>
      </c>
      <c r="F38" s="24">
        <f>17338+2479</f>
        <v>19817</v>
      </c>
      <c r="G38" s="24">
        <f>18286+1523</f>
        <v>19809</v>
      </c>
      <c r="H38" s="24">
        <f>6277+2969</f>
        <v>9246</v>
      </c>
      <c r="I38" s="24">
        <f>7012+3484</f>
        <v>10496</v>
      </c>
      <c r="J38" s="24">
        <f>9809+1785</f>
        <v>11594</v>
      </c>
      <c r="K38" s="24">
        <f>5887+1273</f>
        <v>7160</v>
      </c>
      <c r="L38" s="24">
        <f>5982+1094</f>
        <v>7076</v>
      </c>
      <c r="M38" s="24">
        <f>6749+2157</f>
        <v>8906</v>
      </c>
      <c r="N38" s="24">
        <f>7777+4892</f>
        <v>12669</v>
      </c>
      <c r="O38" s="24">
        <f>3849+4565</f>
        <v>8414</v>
      </c>
    </row>
    <row r="39" spans="1:15" s="3" customFormat="1" ht="24.2" customHeight="1" x14ac:dyDescent="0.2">
      <c r="A39" s="22" t="s">
        <v>5</v>
      </c>
      <c r="B39" s="22" t="s">
        <v>8</v>
      </c>
      <c r="C39" s="23">
        <v>2568</v>
      </c>
      <c r="D39" s="24">
        <v>12776</v>
      </c>
      <c r="E39" s="24">
        <f>4392</f>
        <v>4392</v>
      </c>
      <c r="F39" s="24">
        <f>4778+88</f>
        <v>4866</v>
      </c>
      <c r="G39" s="24">
        <f>4720</f>
        <v>4720</v>
      </c>
      <c r="H39" s="24">
        <f>2484</f>
        <v>2484</v>
      </c>
      <c r="I39" s="24">
        <v>2837</v>
      </c>
      <c r="J39" s="24">
        <v>4500</v>
      </c>
      <c r="K39" s="24">
        <f>2674+2</f>
        <v>2676</v>
      </c>
      <c r="L39" s="24">
        <f>2025+2</f>
        <v>2027</v>
      </c>
      <c r="M39" s="24">
        <f>2734+243</f>
        <v>2977</v>
      </c>
      <c r="N39" s="24">
        <f>2887+1</f>
        <v>2888</v>
      </c>
      <c r="O39" s="24">
        <f>1418+131</f>
        <v>1549</v>
      </c>
    </row>
    <row r="40" spans="1:15" s="3" customFormat="1" ht="24.6" customHeight="1" x14ac:dyDescent="0.2">
      <c r="A40" s="22" t="s">
        <v>11</v>
      </c>
      <c r="B40" s="22" t="s">
        <v>8</v>
      </c>
      <c r="C40" s="23">
        <v>2568</v>
      </c>
      <c r="D40" s="24">
        <v>851</v>
      </c>
      <c r="E40" s="24">
        <v>2229</v>
      </c>
      <c r="F40" s="24">
        <v>4945</v>
      </c>
      <c r="G40" s="24">
        <v>5224</v>
      </c>
      <c r="H40" s="24">
        <v>13287</v>
      </c>
      <c r="I40" s="24">
        <v>9849</v>
      </c>
      <c r="J40" s="24">
        <v>122</v>
      </c>
      <c r="K40" s="24">
        <v>219</v>
      </c>
      <c r="L40" s="24">
        <v>577</v>
      </c>
      <c r="M40" s="24">
        <v>1867</v>
      </c>
      <c r="N40" s="24">
        <v>7842</v>
      </c>
      <c r="O40" s="24">
        <v>10071</v>
      </c>
    </row>
    <row r="41" spans="1:15" s="3" customFormat="1" ht="24.2" customHeight="1" x14ac:dyDescent="0.2">
      <c r="A41" s="22" t="s">
        <v>7</v>
      </c>
      <c r="B41" s="22" t="s">
        <v>8</v>
      </c>
      <c r="C41" s="23">
        <v>2568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2568</v>
      </c>
      <c r="D42" s="24">
        <v>305</v>
      </c>
      <c r="E42" s="24">
        <v>225</v>
      </c>
      <c r="F42" s="24">
        <v>309</v>
      </c>
      <c r="G42" s="24">
        <v>338</v>
      </c>
      <c r="H42" s="24">
        <v>204</v>
      </c>
      <c r="I42" s="24">
        <v>206</v>
      </c>
      <c r="J42" s="24">
        <v>213</v>
      </c>
      <c r="K42" s="24">
        <v>170</v>
      </c>
      <c r="L42" s="24">
        <f>181+1</f>
        <v>182</v>
      </c>
      <c r="M42" s="24">
        <f>177+6</f>
        <v>183</v>
      </c>
      <c r="N42" s="24">
        <f>143+1</f>
        <v>144</v>
      </c>
      <c r="O42" s="24">
        <f>109+3</f>
        <v>112</v>
      </c>
    </row>
    <row r="43" spans="1:15" s="3" customFormat="1" ht="24.2" customHeight="1" x14ac:dyDescent="0.2">
      <c r="A43" s="25" t="s">
        <v>25</v>
      </c>
      <c r="B43" s="22" t="s">
        <v>8</v>
      </c>
      <c r="C43" s="23">
        <v>2568</v>
      </c>
      <c r="D43" s="24">
        <v>66</v>
      </c>
      <c r="E43" s="24">
        <v>53</v>
      </c>
      <c r="F43" s="24">
        <v>77</v>
      </c>
      <c r="G43" s="24">
        <v>58</v>
      </c>
      <c r="H43" s="24">
        <v>37</v>
      </c>
      <c r="I43" s="24">
        <v>39</v>
      </c>
      <c r="J43" s="24">
        <v>34</v>
      </c>
      <c r="K43" s="24">
        <v>27</v>
      </c>
      <c r="L43" s="24">
        <v>45</v>
      </c>
      <c r="M43" s="24">
        <f>44+3</f>
        <v>47</v>
      </c>
      <c r="N43" s="24">
        <f>36</f>
        <v>36</v>
      </c>
      <c r="O43" s="24">
        <v>11</v>
      </c>
    </row>
    <row r="44" spans="1:15" s="3" customFormat="1" ht="24.6" customHeight="1" x14ac:dyDescent="0.2">
      <c r="A44" s="22" t="s">
        <v>28</v>
      </c>
      <c r="B44" s="22" t="s">
        <v>8</v>
      </c>
      <c r="C44" s="23">
        <v>2568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2568</v>
      </c>
      <c r="D46" s="24">
        <v>9790</v>
      </c>
      <c r="E46" s="24">
        <f>2084+1497</f>
        <v>3581</v>
      </c>
      <c r="F46" s="24">
        <f>3112+5602</f>
        <v>8714</v>
      </c>
      <c r="G46" s="24">
        <f>4293+6834</f>
        <v>11127</v>
      </c>
      <c r="H46" s="24">
        <f>2666+1077</f>
        <v>3743</v>
      </c>
      <c r="I46" s="24">
        <f>1800+1044</f>
        <v>2844</v>
      </c>
      <c r="J46" s="24">
        <f>3076+1679</f>
        <v>4755</v>
      </c>
      <c r="K46" s="24">
        <f>2109+1130</f>
        <v>3239</v>
      </c>
      <c r="L46" s="24">
        <f>1952+1819</f>
        <v>3771</v>
      </c>
      <c r="M46" s="24">
        <f>2347+1534</f>
        <v>3881</v>
      </c>
      <c r="N46" s="24">
        <f>2529+2423</f>
        <v>4952</v>
      </c>
      <c r="O46" s="24">
        <f>1490+799</f>
        <v>2289</v>
      </c>
    </row>
    <row r="47" spans="1:15" s="3" customFormat="1" ht="24.2" customHeight="1" x14ac:dyDescent="0.2">
      <c r="A47" s="35" t="s">
        <v>4</v>
      </c>
      <c r="B47" s="35" t="s">
        <v>9</v>
      </c>
      <c r="C47" s="36">
        <v>2568</v>
      </c>
      <c r="D47" s="37">
        <v>66121</v>
      </c>
      <c r="E47" s="37">
        <f>18355+278</f>
        <v>18633</v>
      </c>
      <c r="F47" s="37">
        <f>30654+239</f>
        <v>30893</v>
      </c>
      <c r="G47" s="37">
        <f>29136+374</f>
        <v>29510</v>
      </c>
      <c r="H47" s="37">
        <f>12097+792</f>
        <v>12889</v>
      </c>
      <c r="I47" s="37">
        <f>12852+669</f>
        <v>13521</v>
      </c>
      <c r="J47" s="37">
        <f>22799+610</f>
        <v>23409</v>
      </c>
      <c r="K47" s="37">
        <f>13816+854</f>
        <v>14670</v>
      </c>
      <c r="L47" s="37">
        <f>12430+616</f>
        <v>13046</v>
      </c>
      <c r="M47" s="37">
        <f>16818+382</f>
        <v>17200</v>
      </c>
      <c r="N47" s="37">
        <f>18203+1006</f>
        <v>19209</v>
      </c>
      <c r="O47" s="37">
        <f>7992+582</f>
        <v>8574</v>
      </c>
    </row>
    <row r="48" spans="1:15" s="3" customFormat="1" ht="24.2" customHeight="1" x14ac:dyDescent="0.2">
      <c r="A48" s="35" t="s">
        <v>5</v>
      </c>
      <c r="B48" s="35" t="s">
        <v>9</v>
      </c>
      <c r="C48" s="36">
        <v>2568</v>
      </c>
      <c r="D48" s="37">
        <v>27119</v>
      </c>
      <c r="E48" s="37">
        <f>7277+10</f>
        <v>7287</v>
      </c>
      <c r="F48" s="37">
        <f>7477+5</f>
        <v>7482</v>
      </c>
      <c r="G48" s="37">
        <f>7927</f>
        <v>7927</v>
      </c>
      <c r="H48" s="37">
        <f>4556+1</f>
        <v>4557</v>
      </c>
      <c r="I48" s="37">
        <f>5100+2</f>
        <v>5102</v>
      </c>
      <c r="J48" s="37">
        <f>9558+10</f>
        <v>9568</v>
      </c>
      <c r="K48" s="37">
        <f>5400+42</f>
        <v>5442</v>
      </c>
      <c r="L48" s="37">
        <f>3745+1</f>
        <v>3746</v>
      </c>
      <c r="M48" s="37">
        <f>5917+18</f>
        <v>5935</v>
      </c>
      <c r="N48" s="37">
        <f>6113+11</f>
        <v>6124</v>
      </c>
      <c r="O48" s="37">
        <f>2855+30</f>
        <v>2885</v>
      </c>
    </row>
    <row r="49" spans="1:17" s="3" customFormat="1" ht="24.6" customHeight="1" x14ac:dyDescent="0.2">
      <c r="A49" s="35" t="s">
        <v>11</v>
      </c>
      <c r="B49" s="35" t="s">
        <v>9</v>
      </c>
      <c r="C49" s="36">
        <v>2568</v>
      </c>
      <c r="D49" s="37">
        <v>1770</v>
      </c>
      <c r="E49" s="37">
        <v>1747</v>
      </c>
      <c r="F49" s="37">
        <v>6543</v>
      </c>
      <c r="G49" s="37">
        <v>10626</v>
      </c>
      <c r="H49" s="37">
        <v>19894</v>
      </c>
      <c r="I49" s="37">
        <v>16287</v>
      </c>
      <c r="J49" s="37">
        <v>189</v>
      </c>
      <c r="K49" s="37">
        <v>104</v>
      </c>
      <c r="L49" s="37">
        <v>966</v>
      </c>
      <c r="M49" s="37">
        <v>3351</v>
      </c>
      <c r="N49" s="37">
        <v>13210</v>
      </c>
      <c r="O49" s="37">
        <v>14265</v>
      </c>
    </row>
    <row r="50" spans="1:17" s="3" customFormat="1" ht="24.2" customHeight="1" x14ac:dyDescent="0.2">
      <c r="A50" s="35" t="s">
        <v>7</v>
      </c>
      <c r="B50" s="35" t="s">
        <v>9</v>
      </c>
      <c r="C50" s="36">
        <v>2568</v>
      </c>
      <c r="D50" s="37">
        <v>399</v>
      </c>
      <c r="E50" s="37">
        <v>284</v>
      </c>
      <c r="F50" s="37">
        <v>923</v>
      </c>
      <c r="G50" s="37">
        <v>1133</v>
      </c>
      <c r="H50" s="37">
        <v>3249</v>
      </c>
      <c r="I50" s="37">
        <v>4179</v>
      </c>
      <c r="J50" s="37">
        <v>36</v>
      </c>
      <c r="K50" s="37">
        <v>44</v>
      </c>
      <c r="L50" s="37">
        <v>120</v>
      </c>
      <c r="M50" s="37">
        <v>712</v>
      </c>
      <c r="N50" s="37">
        <v>4198</v>
      </c>
      <c r="O50" s="37">
        <v>3909</v>
      </c>
    </row>
    <row r="51" spans="1:17" s="3" customFormat="1" ht="24.2" customHeight="1" x14ac:dyDescent="0.2">
      <c r="A51" s="38" t="s">
        <v>24</v>
      </c>
      <c r="B51" s="35" t="s">
        <v>9</v>
      </c>
      <c r="C51" s="36">
        <v>2568</v>
      </c>
      <c r="D51" s="37">
        <v>1275</v>
      </c>
      <c r="E51" s="37">
        <f>958+8</f>
        <v>966</v>
      </c>
      <c r="F51" s="37">
        <f>1779+5</f>
        <v>1784</v>
      </c>
      <c r="G51" s="37">
        <v>1399</v>
      </c>
      <c r="H51" s="37">
        <f>834+10</f>
        <v>844</v>
      </c>
      <c r="I51" s="37">
        <v>743</v>
      </c>
      <c r="J51" s="37">
        <v>693</v>
      </c>
      <c r="K51" s="37">
        <v>498</v>
      </c>
      <c r="L51" s="37">
        <f>866+5</f>
        <v>871</v>
      </c>
      <c r="M51" s="37">
        <f>1024+7</f>
        <v>1031</v>
      </c>
      <c r="N51" s="37">
        <f>1535+8</f>
        <v>1543</v>
      </c>
      <c r="O51" s="37">
        <f>492+2</f>
        <v>494</v>
      </c>
    </row>
    <row r="52" spans="1:17" s="3" customFormat="1" ht="24.2" customHeight="1" x14ac:dyDescent="0.2">
      <c r="A52" s="38" t="s">
        <v>25</v>
      </c>
      <c r="B52" s="35" t="s">
        <v>9</v>
      </c>
      <c r="C52" s="36">
        <v>2568</v>
      </c>
      <c r="D52" s="37">
        <v>380</v>
      </c>
      <c r="E52" s="37">
        <f>256</f>
        <v>256</v>
      </c>
      <c r="F52" s="37">
        <v>462</v>
      </c>
      <c r="G52" s="37">
        <v>345</v>
      </c>
      <c r="H52" s="37">
        <v>192</v>
      </c>
      <c r="I52" s="37">
        <v>212</v>
      </c>
      <c r="J52" s="37">
        <v>161</v>
      </c>
      <c r="K52" s="37">
        <v>107</v>
      </c>
      <c r="L52" s="37">
        <v>268</v>
      </c>
      <c r="M52" s="37">
        <v>311</v>
      </c>
      <c r="N52" s="37">
        <v>535</v>
      </c>
      <c r="O52" s="37">
        <v>114</v>
      </c>
    </row>
    <row r="53" spans="1:17" s="3" customFormat="1" ht="24.6" customHeight="1" x14ac:dyDescent="0.2">
      <c r="A53" s="35" t="s">
        <v>28</v>
      </c>
      <c r="B53" s="35" t="s">
        <v>9</v>
      </c>
      <c r="C53" s="36">
        <v>2568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</row>
    <row r="54" spans="1:17" s="3" customFormat="1" ht="24.2" customHeight="1" x14ac:dyDescent="0.2">
      <c r="A54" s="35" t="s">
        <v>29</v>
      </c>
      <c r="B54" s="35" t="s">
        <v>9</v>
      </c>
      <c r="C54" s="36">
        <v>2568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</row>
    <row r="55" spans="1:17" s="3" customFormat="1" ht="24.2" customHeight="1" x14ac:dyDescent="0.2">
      <c r="A55" s="39" t="s">
        <v>6</v>
      </c>
      <c r="B55" s="39" t="s">
        <v>9</v>
      </c>
      <c r="C55" s="36">
        <v>2568</v>
      </c>
      <c r="D55" s="37">
        <v>20234</v>
      </c>
      <c r="E55" s="37">
        <f>2416+3505</f>
        <v>5921</v>
      </c>
      <c r="F55" s="37">
        <f>4141+11724</f>
        <v>15865</v>
      </c>
      <c r="G55" s="37">
        <f>4064+13198</f>
        <v>17262</v>
      </c>
      <c r="H55" s="37">
        <f>1806+6752</f>
        <v>8558</v>
      </c>
      <c r="I55" s="37">
        <f>1904+2073</f>
        <v>3977</v>
      </c>
      <c r="J55" s="37">
        <f>3274+3230</f>
        <v>6504</v>
      </c>
      <c r="K55" s="37">
        <f>1814+2230</f>
        <v>4044</v>
      </c>
      <c r="L55" s="37">
        <f>1679+3172</f>
        <v>4851</v>
      </c>
      <c r="M55" s="37">
        <f>2367+3477</f>
        <v>5844</v>
      </c>
      <c r="N55" s="37">
        <f>2730+4486</f>
        <v>7216</v>
      </c>
      <c r="O55" s="37">
        <f>1151+1890</f>
        <v>3041</v>
      </c>
    </row>
    <row r="56" spans="1:17" s="3" customFormat="1" ht="24" customHeight="1" x14ac:dyDescent="0.2">
      <c r="A56" s="30" t="s">
        <v>4</v>
      </c>
      <c r="B56" s="30" t="s">
        <v>26</v>
      </c>
      <c r="C56" s="28">
        <v>2568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7" s="3" customFormat="1" ht="24.2" customHeight="1" x14ac:dyDescent="0.2">
      <c r="A57" s="40" t="s">
        <v>5</v>
      </c>
      <c r="B57" s="30" t="s">
        <v>26</v>
      </c>
      <c r="C57" s="28">
        <v>2568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7" s="3" customFormat="1" ht="24.2" customHeight="1" x14ac:dyDescent="0.2">
      <c r="A58" s="41" t="s">
        <v>11</v>
      </c>
      <c r="B58" s="30" t="s">
        <v>26</v>
      </c>
      <c r="C58" s="28">
        <v>2568</v>
      </c>
      <c r="D58" s="29">
        <v>16</v>
      </c>
      <c r="E58" s="29">
        <v>20</v>
      </c>
      <c r="F58" s="29">
        <v>429</v>
      </c>
      <c r="G58" s="29">
        <v>806</v>
      </c>
      <c r="H58" s="29">
        <v>4206</v>
      </c>
      <c r="I58" s="29">
        <v>2053</v>
      </c>
      <c r="J58" s="29">
        <v>0</v>
      </c>
      <c r="K58" s="29">
        <v>0</v>
      </c>
      <c r="L58" s="29">
        <v>50</v>
      </c>
      <c r="M58" s="29">
        <v>2600</v>
      </c>
      <c r="N58" s="29">
        <v>0</v>
      </c>
      <c r="O58" s="29">
        <v>88</v>
      </c>
    </row>
    <row r="59" spans="1:17" s="3" customFormat="1" ht="24.2" customHeight="1" x14ac:dyDescent="0.2">
      <c r="A59" s="41" t="s">
        <v>7</v>
      </c>
      <c r="B59" s="30" t="s">
        <v>26</v>
      </c>
      <c r="C59" s="28">
        <v>2568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7" s="3" customFormat="1" ht="24.2" customHeight="1" x14ac:dyDescent="0.2">
      <c r="A60" s="41" t="s">
        <v>13</v>
      </c>
      <c r="B60" s="30" t="s">
        <v>26</v>
      </c>
      <c r="C60" s="28">
        <v>2568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7" s="3" customFormat="1" ht="24.2" customHeight="1" x14ac:dyDescent="0.2">
      <c r="A61" s="41" t="s">
        <v>14</v>
      </c>
      <c r="B61" s="30" t="s">
        <v>26</v>
      </c>
      <c r="C61" s="28">
        <v>2568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</row>
    <row r="62" spans="1:17" s="3" customFormat="1" ht="24.2" customHeight="1" x14ac:dyDescent="0.2">
      <c r="A62" s="41" t="s">
        <v>28</v>
      </c>
      <c r="B62" s="30" t="s">
        <v>26</v>
      </c>
      <c r="C62" s="28">
        <v>2568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</row>
    <row r="63" spans="1:17" s="3" customFormat="1" ht="24.2" customHeight="1" x14ac:dyDescent="0.2">
      <c r="A63" s="41" t="s">
        <v>29</v>
      </c>
      <c r="B63" s="30" t="s">
        <v>26</v>
      </c>
      <c r="C63" s="28">
        <v>2568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7" s="3" customFormat="1" ht="24.2" customHeight="1" x14ac:dyDescent="0.2">
      <c r="A64" s="41" t="s">
        <v>6</v>
      </c>
      <c r="B64" s="30" t="s">
        <v>26</v>
      </c>
      <c r="C64" s="28">
        <v>2568</v>
      </c>
      <c r="D64" s="29">
        <v>2372</v>
      </c>
      <c r="E64" s="29">
        <v>1406</v>
      </c>
      <c r="F64" s="29">
        <v>1901</v>
      </c>
      <c r="G64" s="29">
        <v>1619</v>
      </c>
      <c r="H64" s="29">
        <v>728</v>
      </c>
      <c r="I64" s="29">
        <v>839</v>
      </c>
      <c r="J64" s="29">
        <v>362</v>
      </c>
      <c r="K64" s="29">
        <v>775</v>
      </c>
      <c r="L64" s="29">
        <v>393</v>
      </c>
      <c r="M64" s="29">
        <v>627</v>
      </c>
      <c r="N64" s="29">
        <v>666</v>
      </c>
      <c r="O64" s="29">
        <v>1616</v>
      </c>
      <c r="Q64" s="26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Zoo ZPOT</cp:lastModifiedBy>
  <cp:lastPrinted>2025-09-04T08:43:43Z</cp:lastPrinted>
  <dcterms:created xsi:type="dcterms:W3CDTF">2023-06-27T03:29:47Z</dcterms:created>
  <dcterms:modified xsi:type="dcterms:W3CDTF">2025-10-14T08:45:23Z</dcterms:modified>
</cp:coreProperties>
</file>